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jzapatag\Documents\Maestría\Investigación\Capitulo 2 - Caracterización de metodos - indicadores\Herramienta AHP Desempeño ambiental\"/>
    </mc:Choice>
  </mc:AlternateContent>
  <xr:revisionPtr revIDLastSave="0" documentId="13_ncr:1_{4CD187E9-6D0D-4E3E-AE9F-692E2F172383}" xr6:coauthVersionLast="47" xr6:coauthVersionMax="47" xr10:uidLastSave="{00000000-0000-0000-0000-000000000000}"/>
  <workbookProtection workbookAlgorithmName="SHA-512" workbookHashValue="ZsxOD16VAtDtaouxbkoU/kqR7gvmtTYjQvn5DMHrQDWGD6hIJxQXC4EUds5R6HBrtVUZUvtXGrc9cl7y9JGK8w==" workbookSaltValue="QxuBU8yqkgDhfx9w6FWSOA==" workbookSpinCount="100000" lockStructure="1"/>
  <bookViews>
    <workbookView xWindow="-120" yWindow="-120" windowWidth="20730" windowHeight="11040" tabRatio="734" firstSheet="2" activeTab="5" xr2:uid="{9FCAAB73-D15B-4815-9D4A-154834AEF75F}"/>
  </bookViews>
  <sheets>
    <sheet name="Introducción" sheetId="11" r:id="rId1"/>
    <sheet name="Estructuración del problema" sheetId="2" r:id="rId2"/>
    <sheet name="Asignación de preferencias A)" sheetId="12" r:id="rId3"/>
    <sheet name="Resultado A)" sheetId="10" r:id="rId4"/>
    <sheet name="Asignación de preferencias B)" sheetId="14" r:id="rId5"/>
    <sheet name="Resultado B)" sheetId="13" r:id="rId6"/>
    <sheet name="Lista" sheetId="9" state="hidden" r:id="rId7"/>
    <sheet name="Valoración de alternativas 1" sheetId="4" state="hidden" r:id="rId8"/>
    <sheet name="Resultado priorización 1" sheetId="5" state="hidden" r:id="rId9"/>
    <sheet name="Valoración de alternativas 2" sheetId="6" state="hidden" r:id="rId10"/>
    <sheet name="Resultado priorización 2" sheetId="8" state="hidden" r:id="rId11"/>
  </sheets>
  <definedNames>
    <definedName name="_xlchart.v1.0" hidden="1">'Asignación de preferencias A)'!$B$215:$C$242</definedName>
    <definedName name="_xlchart.v1.1" hidden="1">'Asignación de preferencias A)'!$D$215:$D$242</definedName>
    <definedName name="_xlchart.v1.2" hidden="1">'Asignación de preferencias B)'!$B$215:$C$242</definedName>
    <definedName name="_xlchart.v1.3" hidden="1">'Asignación de preferencias B)'!$D$215:$D$242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9" i="12" l="1"/>
  <c r="C46" i="14"/>
  <c r="C47" i="14"/>
  <c r="C49" i="14" s="1"/>
  <c r="D47" i="14"/>
  <c r="C48" i="14"/>
  <c r="G48" i="14" s="1"/>
  <c r="D48" i="14"/>
  <c r="E48" i="14"/>
  <c r="E49" i="14" s="1"/>
  <c r="J48" i="14"/>
  <c r="D49" i="14"/>
  <c r="H46" i="14" s="1"/>
  <c r="F49" i="14"/>
  <c r="J46" i="14" s="1"/>
  <c r="M75" i="14"/>
  <c r="D89" i="14"/>
  <c r="F89" i="14"/>
  <c r="I89" i="14"/>
  <c r="J89" i="14"/>
  <c r="J105" i="14" s="1"/>
  <c r="O89" i="14"/>
  <c r="F90" i="14"/>
  <c r="C91" i="14"/>
  <c r="C105" i="14" s="1"/>
  <c r="D91" i="14"/>
  <c r="F91" i="14"/>
  <c r="I91" i="14"/>
  <c r="J91" i="14"/>
  <c r="O91" i="14"/>
  <c r="Q91" i="14"/>
  <c r="C93" i="14"/>
  <c r="D93" i="14"/>
  <c r="D105" i="14" s="1"/>
  <c r="E93" i="14"/>
  <c r="F93" i="14"/>
  <c r="H93" i="14"/>
  <c r="H105" i="14" s="1"/>
  <c r="I93" i="14"/>
  <c r="J93" i="14"/>
  <c r="J114" i="14" s="1"/>
  <c r="K93" i="14"/>
  <c r="L93" i="14"/>
  <c r="M93" i="14"/>
  <c r="M105" i="14" s="1"/>
  <c r="N93" i="14"/>
  <c r="O93" i="14"/>
  <c r="P93" i="14"/>
  <c r="P105" i="14" s="1"/>
  <c r="Q93" i="14"/>
  <c r="R93" i="14"/>
  <c r="R105" i="14" s="1"/>
  <c r="C94" i="14"/>
  <c r="D94" i="14"/>
  <c r="E94" i="14"/>
  <c r="E105" i="14" s="1"/>
  <c r="F94" i="14"/>
  <c r="I94" i="14"/>
  <c r="J94" i="14"/>
  <c r="K94" i="14"/>
  <c r="K105" i="14" s="1"/>
  <c r="L94" i="14"/>
  <c r="M94" i="14"/>
  <c r="N94" i="14"/>
  <c r="O94" i="14"/>
  <c r="P94" i="14"/>
  <c r="Q94" i="14"/>
  <c r="D95" i="14"/>
  <c r="D116" i="14" s="1"/>
  <c r="F95" i="14"/>
  <c r="O95" i="14"/>
  <c r="D96" i="14"/>
  <c r="D117" i="14" s="1"/>
  <c r="F96" i="14"/>
  <c r="I96" i="14"/>
  <c r="I117" i="14" s="1"/>
  <c r="O96" i="14"/>
  <c r="C97" i="14"/>
  <c r="D97" i="14"/>
  <c r="E97" i="14"/>
  <c r="F97" i="14"/>
  <c r="I97" i="14"/>
  <c r="J97" i="14"/>
  <c r="J118" i="14" s="1"/>
  <c r="O97" i="14"/>
  <c r="P97" i="14"/>
  <c r="Q97" i="14"/>
  <c r="C98" i="14"/>
  <c r="D98" i="14"/>
  <c r="E98" i="14"/>
  <c r="F98" i="14"/>
  <c r="I98" i="14"/>
  <c r="J98" i="14"/>
  <c r="K98" i="14"/>
  <c r="M98" i="14"/>
  <c r="N98" i="14"/>
  <c r="N105" i="14" s="1"/>
  <c r="O98" i="14"/>
  <c r="P98" i="14"/>
  <c r="P119" i="14" s="1"/>
  <c r="Q98" i="14"/>
  <c r="C99" i="14"/>
  <c r="D99" i="14"/>
  <c r="D120" i="14" s="1"/>
  <c r="E99" i="14"/>
  <c r="F99" i="14"/>
  <c r="I99" i="14"/>
  <c r="J99" i="14"/>
  <c r="K99" i="14"/>
  <c r="O99" i="14"/>
  <c r="P99" i="14"/>
  <c r="Q99" i="14"/>
  <c r="C100" i="14"/>
  <c r="D100" i="14"/>
  <c r="D121" i="14" s="1"/>
  <c r="E100" i="14"/>
  <c r="E121" i="14" s="1"/>
  <c r="F100" i="14"/>
  <c r="I100" i="14"/>
  <c r="J100" i="14"/>
  <c r="K100" i="14"/>
  <c r="M100" i="14"/>
  <c r="M121" i="14" s="1"/>
  <c r="O100" i="14"/>
  <c r="P100" i="14"/>
  <c r="Q100" i="14"/>
  <c r="Q121" i="14" s="1"/>
  <c r="D101" i="14"/>
  <c r="F101" i="14"/>
  <c r="C102" i="14"/>
  <c r="D102" i="14"/>
  <c r="E102" i="14"/>
  <c r="E123" i="14" s="1"/>
  <c r="F102" i="14"/>
  <c r="I102" i="14"/>
  <c r="J102" i="14"/>
  <c r="O102" i="14"/>
  <c r="Q102" i="14"/>
  <c r="C103" i="14"/>
  <c r="D103" i="14"/>
  <c r="F103" i="14"/>
  <c r="I103" i="14"/>
  <c r="J103" i="14"/>
  <c r="O103" i="14"/>
  <c r="C104" i="14"/>
  <c r="D104" i="14"/>
  <c r="D125" i="14" s="1"/>
  <c r="E104" i="14"/>
  <c r="F104" i="14"/>
  <c r="H104" i="14"/>
  <c r="I104" i="14"/>
  <c r="J104" i="14"/>
  <c r="K104" i="14"/>
  <c r="L104" i="14"/>
  <c r="M104" i="14"/>
  <c r="N104" i="14"/>
  <c r="O104" i="14"/>
  <c r="P104" i="14"/>
  <c r="Q104" i="14"/>
  <c r="G105" i="14"/>
  <c r="I105" i="14"/>
  <c r="I111" i="14" s="1"/>
  <c r="Q105" i="14"/>
  <c r="Q111" i="14" s="1"/>
  <c r="G110" i="14"/>
  <c r="I110" i="14"/>
  <c r="Q110" i="14"/>
  <c r="G111" i="14"/>
  <c r="G126" i="14" s="1"/>
  <c r="G112" i="14"/>
  <c r="G113" i="14"/>
  <c r="G114" i="14"/>
  <c r="I114" i="14"/>
  <c r="Q114" i="14"/>
  <c r="G115" i="14"/>
  <c r="G116" i="14"/>
  <c r="G117" i="14"/>
  <c r="G118" i="14"/>
  <c r="I118" i="14"/>
  <c r="Q118" i="14"/>
  <c r="G119" i="14"/>
  <c r="E120" i="14"/>
  <c r="G120" i="14"/>
  <c r="I120" i="14"/>
  <c r="Q120" i="14"/>
  <c r="G121" i="14"/>
  <c r="G122" i="14"/>
  <c r="I122" i="14"/>
  <c r="Q122" i="14"/>
  <c r="G123" i="14"/>
  <c r="G124" i="14"/>
  <c r="I124" i="14"/>
  <c r="Q124" i="14"/>
  <c r="G125" i="14"/>
  <c r="M134" i="14"/>
  <c r="E151" i="14"/>
  <c r="H151" i="14"/>
  <c r="C152" i="14"/>
  <c r="C154" i="14" s="1"/>
  <c r="E152" i="14"/>
  <c r="H152" i="14" s="1"/>
  <c r="D154" i="14"/>
  <c r="G151" i="14" s="1"/>
  <c r="E154" i="14"/>
  <c r="H153" i="14" s="1"/>
  <c r="H162" i="14"/>
  <c r="D170" i="14"/>
  <c r="E170" i="14"/>
  <c r="F170" i="14"/>
  <c r="F176" i="14" s="1"/>
  <c r="H170" i="14"/>
  <c r="F171" i="14"/>
  <c r="L171" i="14" s="1"/>
  <c r="D172" i="14"/>
  <c r="F172" i="14"/>
  <c r="G172" i="14"/>
  <c r="G176" i="14" s="1"/>
  <c r="H172" i="14"/>
  <c r="C174" i="14"/>
  <c r="C176" i="14" s="1"/>
  <c r="D174" i="14"/>
  <c r="E174" i="14"/>
  <c r="F174" i="14"/>
  <c r="H174" i="14"/>
  <c r="D175" i="14"/>
  <c r="F175" i="14"/>
  <c r="H176" i="14"/>
  <c r="N170" i="14" s="1"/>
  <c r="K184" i="14"/>
  <c r="D193" i="14"/>
  <c r="G193" i="14" s="1"/>
  <c r="D194" i="14"/>
  <c r="G194" i="14" s="1"/>
  <c r="J194" i="14" s="1"/>
  <c r="E194" i="14"/>
  <c r="H194" i="14" s="1"/>
  <c r="I194" i="14"/>
  <c r="D195" i="14"/>
  <c r="G192" i="14" s="1"/>
  <c r="E195" i="14"/>
  <c r="H192" i="14" s="1"/>
  <c r="F195" i="14"/>
  <c r="I192" i="14" s="1"/>
  <c r="H203" i="14"/>
  <c r="J122" i="14" l="1"/>
  <c r="J111" i="14"/>
  <c r="J115" i="14"/>
  <c r="J123" i="14"/>
  <c r="J116" i="14"/>
  <c r="J120" i="14"/>
  <c r="J124" i="14"/>
  <c r="J113" i="14"/>
  <c r="J117" i="14"/>
  <c r="J121" i="14"/>
  <c r="J125" i="14"/>
  <c r="I46" i="14"/>
  <c r="I47" i="14"/>
  <c r="I45" i="14"/>
  <c r="F151" i="14"/>
  <c r="F153" i="14"/>
  <c r="L170" i="14"/>
  <c r="L174" i="14"/>
  <c r="L172" i="14"/>
  <c r="L173" i="14"/>
  <c r="L175" i="14"/>
  <c r="K110" i="14"/>
  <c r="K114" i="14"/>
  <c r="K118" i="14"/>
  <c r="K122" i="14"/>
  <c r="K111" i="14"/>
  <c r="K115" i="14"/>
  <c r="K119" i="14"/>
  <c r="K123" i="14"/>
  <c r="K112" i="14"/>
  <c r="K116" i="14"/>
  <c r="K120" i="14"/>
  <c r="K124" i="14"/>
  <c r="K121" i="14"/>
  <c r="K125" i="14"/>
  <c r="K113" i="14"/>
  <c r="K117" i="14"/>
  <c r="J112" i="14"/>
  <c r="E242" i="14"/>
  <c r="H154" i="14"/>
  <c r="N112" i="14"/>
  <c r="N116" i="14"/>
  <c r="N120" i="14"/>
  <c r="N124" i="14"/>
  <c r="N113" i="14"/>
  <c r="N117" i="14"/>
  <c r="N121" i="14"/>
  <c r="N125" i="14"/>
  <c r="N110" i="14"/>
  <c r="N114" i="14"/>
  <c r="N118" i="14"/>
  <c r="N122" i="14"/>
  <c r="N111" i="14"/>
  <c r="N115" i="14"/>
  <c r="N123" i="14"/>
  <c r="H111" i="14"/>
  <c r="H115" i="14"/>
  <c r="H119" i="14"/>
  <c r="H123" i="14"/>
  <c r="H112" i="14"/>
  <c r="H116" i="14"/>
  <c r="H120" i="14"/>
  <c r="H124" i="14"/>
  <c r="H113" i="14"/>
  <c r="H117" i="14"/>
  <c r="H121" i="14"/>
  <c r="H110" i="14"/>
  <c r="H118" i="14"/>
  <c r="H122" i="14"/>
  <c r="F120" i="14"/>
  <c r="R110" i="14"/>
  <c r="R118" i="14"/>
  <c r="R122" i="14"/>
  <c r="R111" i="14"/>
  <c r="R115" i="14"/>
  <c r="R119" i="14"/>
  <c r="R123" i="14"/>
  <c r="R112" i="14"/>
  <c r="R116" i="14"/>
  <c r="R120" i="14"/>
  <c r="R124" i="14"/>
  <c r="R113" i="14"/>
  <c r="R117" i="14"/>
  <c r="R121" i="14"/>
  <c r="R125" i="14"/>
  <c r="I173" i="14"/>
  <c r="I175" i="14"/>
  <c r="I171" i="14"/>
  <c r="I172" i="14"/>
  <c r="I170" i="14"/>
  <c r="O124" i="14"/>
  <c r="P111" i="14"/>
  <c r="P115" i="14"/>
  <c r="P123" i="14"/>
  <c r="P112" i="14"/>
  <c r="P116" i="14"/>
  <c r="P120" i="14"/>
  <c r="P124" i="14"/>
  <c r="P113" i="14"/>
  <c r="P117" i="14"/>
  <c r="P121" i="14"/>
  <c r="P110" i="14"/>
  <c r="P118" i="14"/>
  <c r="P122" i="14"/>
  <c r="M170" i="14"/>
  <c r="M176" i="14" s="1"/>
  <c r="M174" i="14"/>
  <c r="M172" i="14"/>
  <c r="M173" i="14"/>
  <c r="M175" i="14"/>
  <c r="M171" i="14"/>
  <c r="G45" i="14"/>
  <c r="G47" i="14"/>
  <c r="G46" i="14"/>
  <c r="K46" i="14" s="1"/>
  <c r="J192" i="14"/>
  <c r="G195" i="14"/>
  <c r="P125" i="14"/>
  <c r="H125" i="14"/>
  <c r="F124" i="14"/>
  <c r="J119" i="14"/>
  <c r="E113" i="14"/>
  <c r="E117" i="14"/>
  <c r="E125" i="14"/>
  <c r="E110" i="14"/>
  <c r="E114" i="14"/>
  <c r="E118" i="14"/>
  <c r="E122" i="14"/>
  <c r="E111" i="14"/>
  <c r="E119" i="14"/>
  <c r="E124" i="14"/>
  <c r="E112" i="14"/>
  <c r="E116" i="14"/>
  <c r="M113" i="14"/>
  <c r="M117" i="14"/>
  <c r="M125" i="14"/>
  <c r="M110" i="14"/>
  <c r="M118" i="14"/>
  <c r="M122" i="14"/>
  <c r="M111" i="14"/>
  <c r="M115" i="14"/>
  <c r="M119" i="14"/>
  <c r="M123" i="14"/>
  <c r="M116" i="14"/>
  <c r="M120" i="14"/>
  <c r="M124" i="14"/>
  <c r="M112" i="14"/>
  <c r="D113" i="14"/>
  <c r="D110" i="14"/>
  <c r="D118" i="14"/>
  <c r="D122" i="14"/>
  <c r="D111" i="14"/>
  <c r="D115" i="14"/>
  <c r="D119" i="14"/>
  <c r="D123" i="14"/>
  <c r="D112" i="14"/>
  <c r="D124" i="14"/>
  <c r="C110" i="14"/>
  <c r="C114" i="14"/>
  <c r="C118" i="14"/>
  <c r="C122" i="14"/>
  <c r="C111" i="14"/>
  <c r="C115" i="14"/>
  <c r="C119" i="14"/>
  <c r="C123" i="14"/>
  <c r="C116" i="14"/>
  <c r="C120" i="14"/>
  <c r="C124" i="14"/>
  <c r="C121" i="14"/>
  <c r="C125" i="14"/>
  <c r="C113" i="14"/>
  <c r="C117" i="14"/>
  <c r="I193" i="14"/>
  <c r="I195" i="14" s="1"/>
  <c r="N175" i="14"/>
  <c r="I174" i="14"/>
  <c r="N119" i="14"/>
  <c r="P114" i="14"/>
  <c r="H114" i="14"/>
  <c r="N171" i="14"/>
  <c r="N176" i="14" s="1"/>
  <c r="H193" i="14"/>
  <c r="J193" i="14" s="1"/>
  <c r="N173" i="14"/>
  <c r="Q125" i="14"/>
  <c r="I125" i="14"/>
  <c r="I121" i="14"/>
  <c r="Q117" i="14"/>
  <c r="E115" i="14"/>
  <c r="Q113" i="14"/>
  <c r="I113" i="14"/>
  <c r="C112" i="14"/>
  <c r="O105" i="14"/>
  <c r="E176" i="14"/>
  <c r="N172" i="14"/>
  <c r="G152" i="14"/>
  <c r="G154" i="14" s="1"/>
  <c r="F105" i="14"/>
  <c r="D176" i="14"/>
  <c r="J172" i="14" s="1"/>
  <c r="N174" i="14"/>
  <c r="G153" i="14"/>
  <c r="F152" i="14"/>
  <c r="I152" i="14" s="1"/>
  <c r="Q116" i="14"/>
  <c r="I116" i="14"/>
  <c r="M114" i="14"/>
  <c r="Q112" i="14"/>
  <c r="Q126" i="14" s="1"/>
  <c r="I112" i="14"/>
  <c r="I126" i="14" s="1"/>
  <c r="J45" i="14"/>
  <c r="J49" i="14" s="1"/>
  <c r="D114" i="14"/>
  <c r="L105" i="14"/>
  <c r="I48" i="14"/>
  <c r="J47" i="14"/>
  <c r="Q123" i="14"/>
  <c r="I123" i="14"/>
  <c r="Q119" i="14"/>
  <c r="I119" i="14"/>
  <c r="Q115" i="14"/>
  <c r="I115" i="14"/>
  <c r="H48" i="14"/>
  <c r="K48" i="14" s="1"/>
  <c r="H45" i="14"/>
  <c r="R114" i="14"/>
  <c r="J110" i="14"/>
  <c r="H47" i="14"/>
  <c r="D241" i="14" l="1"/>
  <c r="D242" i="14"/>
  <c r="D240" i="14"/>
  <c r="M48" i="14"/>
  <c r="K194" i="14"/>
  <c r="E241" i="14"/>
  <c r="K193" i="14"/>
  <c r="S114" i="14"/>
  <c r="C126" i="14"/>
  <c r="K47" i="14"/>
  <c r="H195" i="14"/>
  <c r="I176" i="14"/>
  <c r="S120" i="14"/>
  <c r="E126" i="14"/>
  <c r="G49" i="14"/>
  <c r="K45" i="14"/>
  <c r="O172" i="14"/>
  <c r="M46" i="14"/>
  <c r="D232" i="14"/>
  <c r="L113" i="14"/>
  <c r="L117" i="14"/>
  <c r="L121" i="14"/>
  <c r="L110" i="14"/>
  <c r="L114" i="14"/>
  <c r="L118" i="14"/>
  <c r="L122" i="14"/>
  <c r="L111" i="14"/>
  <c r="S111" i="14" s="1"/>
  <c r="L115" i="14"/>
  <c r="L119" i="14"/>
  <c r="L123" i="14"/>
  <c r="L112" i="14"/>
  <c r="L116" i="14"/>
  <c r="L120" i="14"/>
  <c r="L124" i="14"/>
  <c r="J175" i="14"/>
  <c r="K172" i="14"/>
  <c r="K173" i="14"/>
  <c r="K175" i="14"/>
  <c r="K171" i="14"/>
  <c r="O120" i="14"/>
  <c r="O113" i="14"/>
  <c r="S113" i="14" s="1"/>
  <c r="O117" i="14"/>
  <c r="O121" i="14"/>
  <c r="O125" i="14"/>
  <c r="O110" i="14"/>
  <c r="O114" i="14"/>
  <c r="O122" i="14"/>
  <c r="O123" i="14"/>
  <c r="O111" i="14"/>
  <c r="O115" i="14"/>
  <c r="O119" i="14"/>
  <c r="O175" i="14"/>
  <c r="H126" i="14"/>
  <c r="L176" i="14"/>
  <c r="D126" i="14"/>
  <c r="S115" i="14"/>
  <c r="F113" i="14"/>
  <c r="F117" i="14"/>
  <c r="F121" i="14"/>
  <c r="F125" i="14"/>
  <c r="S125" i="14" s="1"/>
  <c r="F110" i="14"/>
  <c r="F114" i="14"/>
  <c r="F118" i="14"/>
  <c r="F122" i="14"/>
  <c r="F111" i="14"/>
  <c r="F115" i="14"/>
  <c r="F119" i="14"/>
  <c r="F123" i="14"/>
  <c r="S123" i="14" s="1"/>
  <c r="M192" i="14" a="1"/>
  <c r="E240" i="14"/>
  <c r="K192" i="14"/>
  <c r="P126" i="14"/>
  <c r="R126" i="14"/>
  <c r="K126" i="14"/>
  <c r="I153" i="14"/>
  <c r="O112" i="14"/>
  <c r="E232" i="14"/>
  <c r="J152" i="14"/>
  <c r="S117" i="14"/>
  <c r="J173" i="14"/>
  <c r="O173" i="14" s="1"/>
  <c r="J171" i="14"/>
  <c r="O171" i="14" s="1"/>
  <c r="J174" i="14"/>
  <c r="O174" i="14" s="1"/>
  <c r="J170" i="14"/>
  <c r="J176" i="14" s="1"/>
  <c r="S121" i="14"/>
  <c r="S122" i="14"/>
  <c r="M126" i="14"/>
  <c r="O118" i="14"/>
  <c r="K174" i="14"/>
  <c r="N126" i="14"/>
  <c r="F116" i="14"/>
  <c r="S116" i="14" s="1"/>
  <c r="F154" i="14"/>
  <c r="I151" i="14"/>
  <c r="D231" i="14" s="1"/>
  <c r="O116" i="14"/>
  <c r="S119" i="14"/>
  <c r="J126" i="14"/>
  <c r="H49" i="14"/>
  <c r="S124" i="14"/>
  <c r="S118" i="14"/>
  <c r="F112" i="14"/>
  <c r="S112" i="14" s="1"/>
  <c r="K170" i="14"/>
  <c r="L125" i="14"/>
  <c r="I49" i="14"/>
  <c r="E237" i="14" l="1"/>
  <c r="P173" i="14"/>
  <c r="XFD125" i="14"/>
  <c r="E230" i="14"/>
  <c r="E217" i="14"/>
  <c r="XFD112" i="14"/>
  <c r="E216" i="14"/>
  <c r="XFD111" i="14"/>
  <c r="E228" i="14"/>
  <c r="XFD123" i="14"/>
  <c r="E221" i="14"/>
  <c r="XFD116" i="14"/>
  <c r="E238" i="14"/>
  <c r="P174" i="14"/>
  <c r="P171" i="14"/>
  <c r="E235" i="14"/>
  <c r="XFD113" i="14"/>
  <c r="E218" i="14"/>
  <c r="M192" i="14"/>
  <c r="O192" i="14" s="1"/>
  <c r="O193" i="14"/>
  <c r="O194" i="14"/>
  <c r="O170" i="14"/>
  <c r="XFD114" i="14"/>
  <c r="E219" i="14"/>
  <c r="E233" i="14"/>
  <c r="J153" i="14"/>
  <c r="F126" i="14"/>
  <c r="D233" i="14"/>
  <c r="E225" i="14"/>
  <c r="XFD120" i="14"/>
  <c r="XFD121" i="14"/>
  <c r="E226" i="14"/>
  <c r="P175" i="14"/>
  <c r="E239" i="14"/>
  <c r="L126" i="14"/>
  <c r="E224" i="14"/>
  <c r="XFD119" i="14"/>
  <c r="D217" i="14"/>
  <c r="D221" i="14"/>
  <c r="D225" i="14"/>
  <c r="D229" i="14"/>
  <c r="D222" i="14"/>
  <c r="D230" i="14"/>
  <c r="D220" i="14"/>
  <c r="D218" i="14"/>
  <c r="D226" i="14"/>
  <c r="D228" i="14"/>
  <c r="D224" i="14"/>
  <c r="M45" i="14"/>
  <c r="D219" i="14"/>
  <c r="D223" i="14"/>
  <c r="D227" i="14"/>
  <c r="D216" i="14"/>
  <c r="C66" i="14" a="1"/>
  <c r="J151" i="14"/>
  <c r="L151" i="14" a="1"/>
  <c r="E231" i="14"/>
  <c r="E236" i="14"/>
  <c r="P172" i="14"/>
  <c r="XFD117" i="14"/>
  <c r="E222" i="14"/>
  <c r="S110" i="14"/>
  <c r="XFD122" i="14"/>
  <c r="E227" i="14"/>
  <c r="E220" i="14"/>
  <c r="XFD115" i="14"/>
  <c r="XFD118" i="14"/>
  <c r="E223" i="14"/>
  <c r="E229" i="14"/>
  <c r="XFD124" i="14"/>
  <c r="O126" i="14"/>
  <c r="D237" i="14"/>
  <c r="D238" i="14"/>
  <c r="D236" i="14"/>
  <c r="M47" i="14"/>
  <c r="D235" i="14"/>
  <c r="D239" i="14"/>
  <c r="K176" i="14"/>
  <c r="E234" i="14" l="1"/>
  <c r="P170" i="14"/>
  <c r="Q170" i="14" a="1"/>
  <c r="N152" i="14"/>
  <c r="L151" i="14"/>
  <c r="N151" i="14" s="1"/>
  <c r="N153" i="14"/>
  <c r="C129" i="14" a="1"/>
  <c r="XFD110" i="14"/>
  <c r="E215" i="14"/>
  <c r="D234" i="14"/>
  <c r="R193" i="14"/>
  <c r="H201" i="14" s="1"/>
  <c r="H205" i="14" s="1"/>
  <c r="I205" i="14" s="1"/>
  <c r="E67" i="14"/>
  <c r="E68" i="14"/>
  <c r="E69" i="14"/>
  <c r="C66" i="14"/>
  <c r="E66" i="14" s="1"/>
  <c r="H67" i="14" s="1"/>
  <c r="M68" i="14" s="1"/>
  <c r="M80" i="14" s="1"/>
  <c r="N80" i="14" s="1"/>
  <c r="D215" i="14"/>
  <c r="R173" i="14" l="1"/>
  <c r="R175" i="14"/>
  <c r="R171" i="14"/>
  <c r="Q170" i="14"/>
  <c r="R170" i="14" s="1"/>
  <c r="R172" i="14"/>
  <c r="R174" i="14"/>
  <c r="E133" i="14"/>
  <c r="E137" i="14"/>
  <c r="E134" i="14"/>
  <c r="E138" i="14"/>
  <c r="C129" i="14"/>
  <c r="E129" i="14" s="1"/>
  <c r="E139" i="14"/>
  <c r="E135" i="14"/>
  <c r="E140" i="14"/>
  <c r="E130" i="14"/>
  <c r="E136" i="14"/>
  <c r="E141" i="14"/>
  <c r="E144" i="14"/>
  <c r="E131" i="14"/>
  <c r="E142" i="14"/>
  <c r="E132" i="14"/>
  <c r="E143" i="14"/>
  <c r="Q152" i="14"/>
  <c r="H160" i="14" s="1"/>
  <c r="H164" i="14" s="1"/>
  <c r="I164" i="14" s="1"/>
  <c r="E183" i="14" l="1"/>
  <c r="K182" i="14" s="1"/>
  <c r="K186" i="14" s="1"/>
  <c r="L186" i="14" s="1"/>
  <c r="H136" i="14"/>
  <c r="M132" i="14" s="1"/>
  <c r="M136" i="14" s="1"/>
  <c r="N136" i="14" s="1"/>
  <c r="C46" i="12" l="1"/>
  <c r="E235" i="12" l="1"/>
  <c r="E236" i="12"/>
  <c r="E237" i="12"/>
  <c r="E238" i="12"/>
  <c r="E239" i="12"/>
  <c r="E234" i="12"/>
  <c r="E232" i="12"/>
  <c r="E233" i="12"/>
  <c r="E240" i="12"/>
  <c r="E241" i="12"/>
  <c r="E242" i="12"/>
  <c r="E231" i="12"/>
  <c r="H203" i="12"/>
  <c r="F195" i="12"/>
  <c r="E194" i="12"/>
  <c r="E195" i="12" s="1"/>
  <c r="H192" i="12" s="1"/>
  <c r="D194" i="12"/>
  <c r="H193" i="12"/>
  <c r="D193" i="12"/>
  <c r="I192" i="12"/>
  <c r="K184" i="12"/>
  <c r="F176" i="12"/>
  <c r="L173" i="12" s="1"/>
  <c r="C176" i="12"/>
  <c r="I175" i="12" s="1"/>
  <c r="F175" i="12"/>
  <c r="L175" i="12" s="1"/>
  <c r="D175" i="12"/>
  <c r="H174" i="12"/>
  <c r="F174" i="12"/>
  <c r="L174" i="12" s="1"/>
  <c r="D174" i="12"/>
  <c r="C174" i="12"/>
  <c r="H172" i="12"/>
  <c r="G172" i="12"/>
  <c r="F172" i="12"/>
  <c r="D172" i="12"/>
  <c r="L171" i="12"/>
  <c r="I171" i="12"/>
  <c r="F171" i="12"/>
  <c r="H170" i="12"/>
  <c r="F170" i="12"/>
  <c r="L170" i="12" s="1"/>
  <c r="E170" i="12"/>
  <c r="D170" i="12"/>
  <c r="H162" i="12"/>
  <c r="E154" i="12"/>
  <c r="D154" i="12"/>
  <c r="C154" i="12"/>
  <c r="F151" i="12" s="1"/>
  <c r="G153" i="12"/>
  <c r="F153" i="12"/>
  <c r="H152" i="12"/>
  <c r="G152" i="12"/>
  <c r="F152" i="12"/>
  <c r="I152" i="12" s="1"/>
  <c r="E152" i="12"/>
  <c r="C152" i="12"/>
  <c r="G151" i="12"/>
  <c r="G154" i="12" s="1"/>
  <c r="E151" i="12"/>
  <c r="M134" i="12"/>
  <c r="G122" i="12"/>
  <c r="G105" i="12"/>
  <c r="G110" i="12" s="1"/>
  <c r="F105" i="12"/>
  <c r="F117" i="12" s="1"/>
  <c r="Q104" i="12"/>
  <c r="P104" i="12"/>
  <c r="O104" i="12"/>
  <c r="N104" i="12"/>
  <c r="M104" i="12"/>
  <c r="L104" i="12"/>
  <c r="K104" i="12"/>
  <c r="J104" i="12"/>
  <c r="I104" i="12"/>
  <c r="H104" i="12"/>
  <c r="F104" i="12"/>
  <c r="E104" i="12"/>
  <c r="D104" i="12"/>
  <c r="C104" i="12"/>
  <c r="O103" i="12"/>
  <c r="J103" i="12"/>
  <c r="I103" i="12"/>
  <c r="F103" i="12"/>
  <c r="D103" i="12"/>
  <c r="C103" i="12"/>
  <c r="Q102" i="12"/>
  <c r="O102" i="12"/>
  <c r="J102" i="12"/>
  <c r="I102" i="12"/>
  <c r="F102" i="12"/>
  <c r="E102" i="12"/>
  <c r="D102" i="12"/>
  <c r="C102" i="12"/>
  <c r="F101" i="12"/>
  <c r="Q100" i="12"/>
  <c r="P100" i="12"/>
  <c r="O100" i="12"/>
  <c r="M100" i="12"/>
  <c r="K100" i="12"/>
  <c r="J100" i="12"/>
  <c r="I100" i="12"/>
  <c r="F100" i="12"/>
  <c r="E100" i="12"/>
  <c r="D100" i="12"/>
  <c r="C100" i="12"/>
  <c r="Q99" i="12"/>
  <c r="P99" i="12"/>
  <c r="O99" i="12"/>
  <c r="K99" i="12"/>
  <c r="J99" i="12"/>
  <c r="I99" i="12"/>
  <c r="F99" i="12"/>
  <c r="E99" i="12"/>
  <c r="D99" i="12"/>
  <c r="C99" i="12"/>
  <c r="Q98" i="12"/>
  <c r="P98" i="12"/>
  <c r="O98" i="12"/>
  <c r="N98" i="12"/>
  <c r="M98" i="12"/>
  <c r="K98" i="12"/>
  <c r="J98" i="12"/>
  <c r="I98" i="12"/>
  <c r="F98" i="12"/>
  <c r="E98" i="12"/>
  <c r="D98" i="12"/>
  <c r="C98" i="12"/>
  <c r="Q97" i="12"/>
  <c r="P97" i="12"/>
  <c r="O97" i="12"/>
  <c r="J97" i="12"/>
  <c r="I97" i="12"/>
  <c r="F97" i="12"/>
  <c r="E97" i="12"/>
  <c r="D97" i="12"/>
  <c r="C97" i="12"/>
  <c r="O96" i="12"/>
  <c r="I96" i="12"/>
  <c r="F96" i="12"/>
  <c r="D96" i="12"/>
  <c r="O95" i="12"/>
  <c r="F95" i="12"/>
  <c r="D95" i="12"/>
  <c r="Q94" i="12"/>
  <c r="P94" i="12"/>
  <c r="O94" i="12"/>
  <c r="N94" i="12"/>
  <c r="M94" i="12"/>
  <c r="L94" i="12"/>
  <c r="L105" i="12" s="1"/>
  <c r="K94" i="12"/>
  <c r="J94" i="12"/>
  <c r="I94" i="12"/>
  <c r="F94" i="12"/>
  <c r="E94" i="12"/>
  <c r="D94" i="12"/>
  <c r="C94" i="12"/>
  <c r="R93" i="12"/>
  <c r="Q93" i="12"/>
  <c r="P93" i="12"/>
  <c r="O93" i="12"/>
  <c r="N93" i="12"/>
  <c r="M93" i="12"/>
  <c r="L93" i="12"/>
  <c r="K93" i="12"/>
  <c r="J93" i="12"/>
  <c r="I93" i="12"/>
  <c r="H93" i="12"/>
  <c r="F93" i="12"/>
  <c r="E93" i="12"/>
  <c r="D93" i="12"/>
  <c r="C93" i="12"/>
  <c r="Q91" i="12"/>
  <c r="O91" i="12"/>
  <c r="J91" i="12"/>
  <c r="I91" i="12"/>
  <c r="F91" i="12"/>
  <c r="D91" i="12"/>
  <c r="C91" i="12"/>
  <c r="F90" i="12"/>
  <c r="O89" i="12"/>
  <c r="D101" i="12" s="1"/>
  <c r="J89" i="12"/>
  <c r="I89" i="12"/>
  <c r="D89" i="12"/>
  <c r="M75" i="12"/>
  <c r="F49" i="12"/>
  <c r="J48" i="12" s="1"/>
  <c r="E48" i="12"/>
  <c r="E49" i="12" s="1"/>
  <c r="I45" i="12" s="1"/>
  <c r="D48" i="12"/>
  <c r="C48" i="12"/>
  <c r="D47" i="12"/>
  <c r="C47" i="12"/>
  <c r="F112" i="12" l="1"/>
  <c r="J46" i="12"/>
  <c r="J47" i="12"/>
  <c r="I153" i="12"/>
  <c r="L123" i="12"/>
  <c r="L119" i="12"/>
  <c r="L121" i="12"/>
  <c r="L117" i="12"/>
  <c r="L113" i="12"/>
  <c r="L124" i="12"/>
  <c r="L120" i="12"/>
  <c r="L116" i="12"/>
  <c r="L112" i="12"/>
  <c r="L122" i="12"/>
  <c r="L111" i="12"/>
  <c r="L118" i="12"/>
  <c r="L110" i="12"/>
  <c r="L114" i="12"/>
  <c r="D118" i="12"/>
  <c r="D122" i="12"/>
  <c r="J115" i="12"/>
  <c r="Q118" i="12"/>
  <c r="D121" i="12"/>
  <c r="K125" i="12"/>
  <c r="H114" i="12"/>
  <c r="H105" i="12"/>
  <c r="F121" i="12"/>
  <c r="F116" i="12"/>
  <c r="E118" i="12"/>
  <c r="F122" i="12"/>
  <c r="F113" i="12"/>
  <c r="G114" i="12"/>
  <c r="E176" i="12"/>
  <c r="P105" i="12"/>
  <c r="P115" i="12" s="1"/>
  <c r="I120" i="12"/>
  <c r="L125" i="12"/>
  <c r="F114" i="12"/>
  <c r="J105" i="12"/>
  <c r="J110" i="12" s="1"/>
  <c r="J114" i="12"/>
  <c r="R114" i="12"/>
  <c r="R105" i="12"/>
  <c r="L115" i="12"/>
  <c r="F118" i="12"/>
  <c r="E125" i="12"/>
  <c r="N105" i="12"/>
  <c r="N125" i="12" s="1"/>
  <c r="F125" i="12"/>
  <c r="F120" i="12"/>
  <c r="P121" i="12"/>
  <c r="I47" i="12"/>
  <c r="I46" i="12"/>
  <c r="Q105" i="12"/>
  <c r="K105" i="12"/>
  <c r="C105" i="12"/>
  <c r="D117" i="12"/>
  <c r="F119" i="12"/>
  <c r="Q119" i="12"/>
  <c r="J121" i="12"/>
  <c r="D124" i="12"/>
  <c r="O105" i="12"/>
  <c r="O116" i="12" s="1"/>
  <c r="G118" i="12"/>
  <c r="F154" i="12"/>
  <c r="H176" i="12"/>
  <c r="N170" i="12" s="1"/>
  <c r="I194" i="12"/>
  <c r="I193" i="12"/>
  <c r="I195" i="12" s="1"/>
  <c r="I48" i="12"/>
  <c r="F111" i="12"/>
  <c r="F124" i="12"/>
  <c r="E174" i="12"/>
  <c r="G176" i="12"/>
  <c r="M114" i="12"/>
  <c r="Q120" i="12"/>
  <c r="F123" i="12"/>
  <c r="I124" i="12"/>
  <c r="F110" i="12"/>
  <c r="H153" i="12"/>
  <c r="H151" i="12"/>
  <c r="D112" i="12"/>
  <c r="F115" i="12"/>
  <c r="K119" i="12"/>
  <c r="E120" i="12"/>
  <c r="C121" i="12"/>
  <c r="D105" i="12"/>
  <c r="D120" i="12" s="1"/>
  <c r="L172" i="12"/>
  <c r="L176" i="12" s="1"/>
  <c r="G193" i="12"/>
  <c r="J193" i="12" s="1"/>
  <c r="Q115" i="12"/>
  <c r="G125" i="12"/>
  <c r="G121" i="12"/>
  <c r="G117" i="12"/>
  <c r="G113" i="12"/>
  <c r="G124" i="12"/>
  <c r="G120" i="12"/>
  <c r="G116" i="12"/>
  <c r="G112" i="12"/>
  <c r="G123" i="12"/>
  <c r="G119" i="12"/>
  <c r="G115" i="12"/>
  <c r="G111" i="12"/>
  <c r="G126" i="12" s="1"/>
  <c r="D176" i="12"/>
  <c r="J174" i="12" s="1"/>
  <c r="J170" i="12"/>
  <c r="C49" i="12"/>
  <c r="G45" i="12" s="1"/>
  <c r="I170" i="12"/>
  <c r="I174" i="12"/>
  <c r="H194" i="12"/>
  <c r="H195" i="12" s="1"/>
  <c r="D49" i="12"/>
  <c r="H47" i="12" s="1"/>
  <c r="I105" i="12"/>
  <c r="I172" i="12"/>
  <c r="K170" i="12"/>
  <c r="I173" i="12"/>
  <c r="J45" i="12"/>
  <c r="J49" i="12" s="1"/>
  <c r="E105" i="12"/>
  <c r="E121" i="12" s="1"/>
  <c r="M105" i="12"/>
  <c r="D195" i="12"/>
  <c r="I49" i="12" l="1"/>
  <c r="G47" i="12"/>
  <c r="K47" i="12" s="1"/>
  <c r="G48" i="12"/>
  <c r="M173" i="12"/>
  <c r="M174" i="12"/>
  <c r="M171" i="12"/>
  <c r="M175" i="12"/>
  <c r="M170" i="12"/>
  <c r="C111" i="12"/>
  <c r="C122" i="12"/>
  <c r="C114" i="12"/>
  <c r="S114" i="12" s="1"/>
  <c r="E219" i="12" s="1"/>
  <c r="C110" i="12"/>
  <c r="C117" i="12"/>
  <c r="C113" i="12"/>
  <c r="C124" i="12"/>
  <c r="C120" i="12"/>
  <c r="C112" i="12"/>
  <c r="C116" i="12"/>
  <c r="I116" i="12"/>
  <c r="I119" i="12"/>
  <c r="I111" i="12"/>
  <c r="I122" i="12"/>
  <c r="I125" i="12"/>
  <c r="I113" i="12"/>
  <c r="I117" i="12"/>
  <c r="C125" i="12"/>
  <c r="G192" i="12"/>
  <c r="G194" i="12"/>
  <c r="J194" i="12" s="1"/>
  <c r="K123" i="12"/>
  <c r="K111" i="12"/>
  <c r="K122" i="12"/>
  <c r="K118" i="12"/>
  <c r="K110" i="12"/>
  <c r="K117" i="12"/>
  <c r="K113" i="12"/>
  <c r="K120" i="12"/>
  <c r="K112" i="12"/>
  <c r="K116" i="12"/>
  <c r="K124" i="12"/>
  <c r="C118" i="12"/>
  <c r="P119" i="12"/>
  <c r="P114" i="12"/>
  <c r="O123" i="12"/>
  <c r="M122" i="12"/>
  <c r="M118" i="12"/>
  <c r="M110" i="12"/>
  <c r="M121" i="12"/>
  <c r="M117" i="12"/>
  <c r="M113" i="12"/>
  <c r="M124" i="12"/>
  <c r="M120" i="12"/>
  <c r="M116" i="12"/>
  <c r="M112" i="12"/>
  <c r="M123" i="12"/>
  <c r="M119" i="12"/>
  <c r="M115" i="12"/>
  <c r="M111" i="12"/>
  <c r="J125" i="12"/>
  <c r="O117" i="12"/>
  <c r="O115" i="12"/>
  <c r="K121" i="12"/>
  <c r="O120" i="12"/>
  <c r="K114" i="12"/>
  <c r="I112" i="12"/>
  <c r="O110" i="12"/>
  <c r="K115" i="12"/>
  <c r="I121" i="12"/>
  <c r="N122" i="12"/>
  <c r="N118" i="12"/>
  <c r="N114" i="12"/>
  <c r="N124" i="12"/>
  <c r="N120" i="12"/>
  <c r="N116" i="12"/>
  <c r="N112" i="12"/>
  <c r="N123" i="12"/>
  <c r="N111" i="12"/>
  <c r="N117" i="12"/>
  <c r="N113" i="12"/>
  <c r="N121" i="12"/>
  <c r="N110" i="12"/>
  <c r="J171" i="12"/>
  <c r="O171" i="12" s="1"/>
  <c r="J175" i="12"/>
  <c r="J173" i="12"/>
  <c r="M172" i="12"/>
  <c r="K171" i="12"/>
  <c r="K175" i="12"/>
  <c r="K173" i="12"/>
  <c r="O173" i="12" s="1"/>
  <c r="K172" i="12"/>
  <c r="K176" i="12" s="1"/>
  <c r="O112" i="12"/>
  <c r="H45" i="12"/>
  <c r="H46" i="12"/>
  <c r="P118" i="12"/>
  <c r="J120" i="12"/>
  <c r="J116" i="12"/>
  <c r="J122" i="12"/>
  <c r="J117" i="12"/>
  <c r="J113" i="12"/>
  <c r="J126" i="12" s="1"/>
  <c r="J111" i="12"/>
  <c r="J112" i="12"/>
  <c r="J119" i="12"/>
  <c r="E122" i="12"/>
  <c r="E110" i="12"/>
  <c r="E117" i="12"/>
  <c r="E113" i="12"/>
  <c r="E124" i="12"/>
  <c r="E116" i="12"/>
  <c r="E112" i="12"/>
  <c r="E115" i="12"/>
  <c r="E111" i="12"/>
  <c r="E123" i="12"/>
  <c r="E119" i="12"/>
  <c r="O174" i="12"/>
  <c r="J124" i="12"/>
  <c r="H154" i="12"/>
  <c r="J118" i="12"/>
  <c r="Q124" i="12"/>
  <c r="Q116" i="12"/>
  <c r="Q111" i="12"/>
  <c r="Q122" i="12"/>
  <c r="Q110" i="12"/>
  <c r="Q113" i="12"/>
  <c r="Q125" i="12"/>
  <c r="Q117" i="12"/>
  <c r="J172" i="12"/>
  <c r="H48" i="12"/>
  <c r="M125" i="12"/>
  <c r="Q114" i="12"/>
  <c r="N119" i="12"/>
  <c r="J123" i="12"/>
  <c r="O113" i="12"/>
  <c r="O111" i="12"/>
  <c r="O122" i="12"/>
  <c r="O118" i="12"/>
  <c r="O114" i="12"/>
  <c r="O119" i="12"/>
  <c r="P125" i="12"/>
  <c r="P117" i="12"/>
  <c r="P123" i="12"/>
  <c r="P111" i="12"/>
  <c r="P122" i="12"/>
  <c r="P110" i="12"/>
  <c r="P120" i="12"/>
  <c r="P112" i="12"/>
  <c r="P113" i="12"/>
  <c r="P116" i="12"/>
  <c r="P124" i="12"/>
  <c r="D123" i="12"/>
  <c r="D119" i="12"/>
  <c r="D115" i="12"/>
  <c r="D113" i="12"/>
  <c r="D110" i="12"/>
  <c r="D126" i="12" s="1"/>
  <c r="D111" i="12"/>
  <c r="D114" i="12"/>
  <c r="N172" i="12"/>
  <c r="N171" i="12"/>
  <c r="N175" i="12"/>
  <c r="N173" i="12"/>
  <c r="N176" i="12" s="1"/>
  <c r="O170" i="12"/>
  <c r="I176" i="12"/>
  <c r="C119" i="12"/>
  <c r="I123" i="12"/>
  <c r="N115" i="12"/>
  <c r="I151" i="12"/>
  <c r="Q112" i="12"/>
  <c r="G46" i="12"/>
  <c r="K46" i="12" s="1"/>
  <c r="I115" i="12"/>
  <c r="D125" i="12"/>
  <c r="I114" i="12"/>
  <c r="D116" i="12"/>
  <c r="L126" i="12"/>
  <c r="O125" i="12"/>
  <c r="K174" i="12"/>
  <c r="C115" i="12"/>
  <c r="C123" i="12"/>
  <c r="K45" i="12"/>
  <c r="O124" i="12"/>
  <c r="O121" i="12"/>
  <c r="E114" i="12"/>
  <c r="F126" i="12"/>
  <c r="N174" i="12"/>
  <c r="I118" i="12"/>
  <c r="R124" i="12"/>
  <c r="R120" i="12"/>
  <c r="R116" i="12"/>
  <c r="R122" i="12"/>
  <c r="R118" i="12"/>
  <c r="R110" i="12"/>
  <c r="R125" i="12"/>
  <c r="R121" i="12"/>
  <c r="R117" i="12"/>
  <c r="R113" i="12"/>
  <c r="R112" i="12"/>
  <c r="R123" i="12"/>
  <c r="R119" i="12"/>
  <c r="R111" i="12"/>
  <c r="R115" i="12"/>
  <c r="Q123" i="12"/>
  <c r="I110" i="12"/>
  <c r="H125" i="12"/>
  <c r="H121" i="12"/>
  <c r="S121" i="12" s="1"/>
  <c r="E226" i="12" s="1"/>
  <c r="H117" i="12"/>
  <c r="H123" i="12"/>
  <c r="H119" i="12"/>
  <c r="H115" i="12"/>
  <c r="H111" i="12"/>
  <c r="H122" i="12"/>
  <c r="H118" i="12"/>
  <c r="H110" i="12"/>
  <c r="H124" i="12"/>
  <c r="H120" i="12"/>
  <c r="H112" i="12"/>
  <c r="H116" i="12"/>
  <c r="H113" i="12"/>
  <c r="Q121" i="12"/>
  <c r="XFD121" i="12" l="1"/>
  <c r="XFD114" i="12"/>
  <c r="J152" i="12"/>
  <c r="J151" i="12"/>
  <c r="J153" i="12"/>
  <c r="P173" i="12"/>
  <c r="P171" i="12"/>
  <c r="P170" i="12"/>
  <c r="P175" i="12"/>
  <c r="P174" i="12"/>
  <c r="P172" i="12"/>
  <c r="K48" i="12"/>
  <c r="D241" i="12" s="1"/>
  <c r="Q126" i="12"/>
  <c r="S122" i="12"/>
  <c r="E227" i="12" s="1"/>
  <c r="S111" i="12"/>
  <c r="XFD111" i="12" s="1"/>
  <c r="G49" i="12"/>
  <c r="E126" i="12"/>
  <c r="M126" i="12"/>
  <c r="S120" i="12"/>
  <c r="E225" i="12" s="1"/>
  <c r="O172" i="12"/>
  <c r="Q170" i="12" s="1" a="1"/>
  <c r="S124" i="12"/>
  <c r="E229" i="12" s="1"/>
  <c r="M176" i="12"/>
  <c r="O126" i="12"/>
  <c r="D233" i="12"/>
  <c r="D232" i="12"/>
  <c r="D231" i="12"/>
  <c r="M46" i="12"/>
  <c r="N126" i="12"/>
  <c r="S116" i="12"/>
  <c r="E221" i="12" s="1"/>
  <c r="J176" i="12"/>
  <c r="S118" i="12"/>
  <c r="E223" i="12" s="1"/>
  <c r="S123" i="12"/>
  <c r="E228" i="12" s="1"/>
  <c r="D238" i="12"/>
  <c r="D234" i="12"/>
  <c r="D237" i="12"/>
  <c r="D236" i="12"/>
  <c r="D235" i="12"/>
  <c r="M47" i="12"/>
  <c r="S113" i="12"/>
  <c r="E218" i="12" s="1"/>
  <c r="G195" i="12"/>
  <c r="J192" i="12"/>
  <c r="S112" i="12"/>
  <c r="S115" i="12"/>
  <c r="E220" i="12" s="1"/>
  <c r="S117" i="12"/>
  <c r="E222" i="12" s="1"/>
  <c r="S125" i="12"/>
  <c r="E230" i="12" s="1"/>
  <c r="D226" i="12"/>
  <c r="D225" i="12"/>
  <c r="D228" i="12"/>
  <c r="D220" i="12"/>
  <c r="D219" i="12"/>
  <c r="M45" i="12"/>
  <c r="P126" i="12"/>
  <c r="K126" i="12"/>
  <c r="I126" i="12"/>
  <c r="L151" i="12" a="1"/>
  <c r="R126" i="12"/>
  <c r="S119" i="12"/>
  <c r="E224" i="12" s="1"/>
  <c r="H49" i="12"/>
  <c r="O175" i="12"/>
  <c r="D239" i="12" s="1"/>
  <c r="C126" i="12"/>
  <c r="S110" i="12"/>
  <c r="E215" i="12" s="1"/>
  <c r="H126" i="12"/>
  <c r="D217" i="12" l="1"/>
  <c r="E217" i="12"/>
  <c r="XFD124" i="12"/>
  <c r="D218" i="12"/>
  <c r="XFD113" i="12"/>
  <c r="XFD125" i="12"/>
  <c r="D222" i="12"/>
  <c r="XFD110" i="12"/>
  <c r="D216" i="12"/>
  <c r="E216" i="12"/>
  <c r="XFD122" i="12"/>
  <c r="XFD118" i="12"/>
  <c r="D230" i="12"/>
  <c r="XFD117" i="12"/>
  <c r="XFD119" i="12"/>
  <c r="XFD115" i="12"/>
  <c r="XFD112" i="12"/>
  <c r="XFD123" i="12"/>
  <c r="XFD120" i="12"/>
  <c r="D221" i="12"/>
  <c r="XFD116" i="12"/>
  <c r="M48" i="12"/>
  <c r="C66" i="12" a="1"/>
  <c r="E68" i="12" s="1"/>
  <c r="D242" i="12"/>
  <c r="D240" i="12"/>
  <c r="K194" i="12"/>
  <c r="K193" i="12"/>
  <c r="K192" i="12"/>
  <c r="R175" i="12"/>
  <c r="R173" i="12"/>
  <c r="R172" i="12"/>
  <c r="Q170" i="12"/>
  <c r="R170" i="12" s="1"/>
  <c r="R174" i="12"/>
  <c r="R171" i="12"/>
  <c r="M192" i="12" a="1"/>
  <c r="C129" i="12" a="1"/>
  <c r="D223" i="12"/>
  <c r="N152" i="12"/>
  <c r="N153" i="12"/>
  <c r="L151" i="12"/>
  <c r="N151" i="12" s="1"/>
  <c r="D215" i="12"/>
  <c r="D229" i="12"/>
  <c r="D227" i="12"/>
  <c r="D224" i="12"/>
  <c r="E69" i="12" l="1"/>
  <c r="C66" i="12"/>
  <c r="E66" i="12" s="1"/>
  <c r="E67" i="12"/>
  <c r="O194" i="12"/>
  <c r="O193" i="12"/>
  <c r="M192" i="12"/>
  <c r="O192" i="12" s="1"/>
  <c r="Q152" i="12"/>
  <c r="H160" i="12" s="1"/>
  <c r="H164" i="12" s="1"/>
  <c r="I164" i="12" s="1"/>
  <c r="E183" i="12"/>
  <c r="K182" i="12" s="1"/>
  <c r="K186" i="12" s="1"/>
  <c r="L186" i="12" s="1"/>
  <c r="E141" i="12"/>
  <c r="E136" i="12"/>
  <c r="E130" i="12"/>
  <c r="E140" i="12"/>
  <c r="E135" i="12"/>
  <c r="E138" i="12"/>
  <c r="E134" i="12"/>
  <c r="E137" i="12"/>
  <c r="E133" i="12"/>
  <c r="E144" i="12"/>
  <c r="E143" i="12"/>
  <c r="E132" i="12"/>
  <c r="E139" i="12"/>
  <c r="E131" i="12"/>
  <c r="C129" i="12"/>
  <c r="E129" i="12" s="1"/>
  <c r="H136" i="12" s="1"/>
  <c r="M132" i="12" s="1"/>
  <c r="M136" i="12" s="1"/>
  <c r="N136" i="12" s="1"/>
  <c r="E142" i="12"/>
  <c r="H67" i="12" l="1"/>
  <c r="M68" i="12" s="1"/>
  <c r="M80" i="12" s="1"/>
  <c r="N80" i="12" s="1"/>
  <c r="R193" i="12"/>
  <c r="H201" i="12" s="1"/>
  <c r="H205" i="12" s="1"/>
  <c r="I205" i="12" s="1"/>
  <c r="A17" i="9" l="1"/>
  <c r="A16" i="9"/>
  <c r="A15" i="9"/>
  <c r="A11" i="9"/>
  <c r="A12" i="9"/>
  <c r="A13" i="9"/>
  <c r="A14" i="9"/>
  <c r="A10" i="9"/>
  <c r="H86" i="6"/>
  <c r="I86" i="6"/>
  <c r="J86" i="6"/>
  <c r="K86" i="6"/>
  <c r="L86" i="6"/>
  <c r="H87" i="6"/>
  <c r="I87" i="6"/>
  <c r="J87" i="6"/>
  <c r="K87" i="6"/>
  <c r="L87" i="6"/>
  <c r="H88" i="6"/>
  <c r="I88" i="6"/>
  <c r="J88" i="6"/>
  <c r="K88" i="6"/>
  <c r="L88" i="6"/>
  <c r="H89" i="6"/>
  <c r="I89" i="6"/>
  <c r="J89" i="6"/>
  <c r="K89" i="6"/>
  <c r="L89" i="6"/>
  <c r="I85" i="6"/>
  <c r="J85" i="6"/>
  <c r="K85" i="6"/>
  <c r="L85" i="6"/>
  <c r="H85" i="6"/>
  <c r="F17" i="8"/>
  <c r="F18" i="8"/>
  <c r="F19" i="8"/>
  <c r="F20" i="8"/>
  <c r="F16" i="8"/>
  <c r="E17" i="8"/>
  <c r="E18" i="8"/>
  <c r="E19" i="8"/>
  <c r="E20" i="8"/>
  <c r="E16" i="8"/>
  <c r="D17" i="8"/>
  <c r="D18" i="8"/>
  <c r="D19" i="8"/>
  <c r="D20" i="8"/>
  <c r="D16" i="8"/>
  <c r="C89" i="6"/>
  <c r="C88" i="6"/>
  <c r="F86" i="6"/>
  <c r="C86" i="6"/>
  <c r="E88" i="6"/>
  <c r="E86" i="6"/>
  <c r="C87" i="6"/>
  <c r="G86" i="6"/>
  <c r="G87" i="6"/>
  <c r="G88" i="6"/>
  <c r="I98" i="6"/>
  <c r="D90" i="6"/>
  <c r="F66" i="6"/>
  <c r="F67" i="6" s="1"/>
  <c r="E66" i="6"/>
  <c r="E65" i="6"/>
  <c r="D66" i="6"/>
  <c r="F63" i="6"/>
  <c r="E63" i="6"/>
  <c r="C66" i="6"/>
  <c r="F62" i="6"/>
  <c r="E62" i="6"/>
  <c r="D62" i="6"/>
  <c r="I75" i="6"/>
  <c r="G67" i="6"/>
  <c r="L63" i="6" s="1"/>
  <c r="F41" i="6"/>
  <c r="F44" i="6"/>
  <c r="G42" i="6"/>
  <c r="F42" i="6"/>
  <c r="G41" i="6"/>
  <c r="D42" i="6"/>
  <c r="C44" i="6"/>
  <c r="F40" i="6"/>
  <c r="K65" i="6" l="1"/>
  <c r="C90" i="6"/>
  <c r="E90" i="6"/>
  <c r="F90" i="6"/>
  <c r="G90" i="6"/>
  <c r="L90" i="6"/>
  <c r="K90" i="6"/>
  <c r="E67" i="6"/>
  <c r="L62" i="6"/>
  <c r="L66" i="6"/>
  <c r="L65" i="6"/>
  <c r="L64" i="6"/>
  <c r="K64" i="6"/>
  <c r="K62" i="6"/>
  <c r="K63" i="6"/>
  <c r="K66" i="6"/>
  <c r="C67" i="6"/>
  <c r="D67" i="6"/>
  <c r="J90" i="6" l="1"/>
  <c r="M87" i="6"/>
  <c r="G18" i="8" s="1"/>
  <c r="I90" i="6"/>
  <c r="M88" i="6"/>
  <c r="G19" i="8" s="1"/>
  <c r="J64" i="6"/>
  <c r="H90" i="6"/>
  <c r="M85" i="6"/>
  <c r="G16" i="8" s="1"/>
  <c r="J66" i="6"/>
  <c r="J65" i="6"/>
  <c r="J63" i="6"/>
  <c r="J62" i="6"/>
  <c r="L67" i="6"/>
  <c r="K67" i="6"/>
  <c r="I66" i="6"/>
  <c r="I63" i="6"/>
  <c r="I65" i="6"/>
  <c r="I62" i="6"/>
  <c r="I64" i="6"/>
  <c r="H64" i="6"/>
  <c r="H66" i="6"/>
  <c r="H63" i="6"/>
  <c r="H62" i="6"/>
  <c r="H65" i="6"/>
  <c r="J67" i="6" l="1"/>
  <c r="M86" i="6"/>
  <c r="M89" i="6"/>
  <c r="G20" i="8" s="1"/>
  <c r="M63" i="6"/>
  <c r="M66" i="6"/>
  <c r="M64" i="6"/>
  <c r="M65" i="6"/>
  <c r="I67" i="6"/>
  <c r="M62" i="6"/>
  <c r="H67" i="6"/>
  <c r="O85" i="6" l="1" a="1"/>
  <c r="Q86" i="6" s="1"/>
  <c r="G17" i="8"/>
  <c r="O62" i="6" a="1"/>
  <c r="O62" i="6" s="1"/>
  <c r="Q62" i="6" s="1"/>
  <c r="Q89" i="6" l="1"/>
  <c r="D98" i="6" s="1"/>
  <c r="I96" i="6" s="1"/>
  <c r="I100" i="6" s="1"/>
  <c r="J100" i="6" s="1"/>
  <c r="O85" i="6"/>
  <c r="Q85" i="6" s="1"/>
  <c r="Q88" i="6"/>
  <c r="Q87" i="6"/>
  <c r="Q64" i="6"/>
  <c r="Q63" i="6"/>
  <c r="Q66" i="6"/>
  <c r="Q65" i="6"/>
  <c r="D75" i="6" l="1"/>
  <c r="I73" i="6" s="1"/>
  <c r="I77" i="6" s="1"/>
  <c r="J77" i="6" s="1"/>
  <c r="C42" i="6"/>
  <c r="C41" i="6"/>
  <c r="I53" i="6"/>
  <c r="E45" i="6"/>
  <c r="J44" i="6" s="1"/>
  <c r="F20" i="6"/>
  <c r="I31" i="6"/>
  <c r="F22" i="6"/>
  <c r="F19" i="6"/>
  <c r="D22" i="6"/>
  <c r="D20" i="6"/>
  <c r="C22" i="6"/>
  <c r="C21" i="6"/>
  <c r="C20" i="6"/>
  <c r="C19" i="6"/>
  <c r="C23" i="6" s="1"/>
  <c r="H18" i="6" s="1"/>
  <c r="D23" i="6"/>
  <c r="I18" i="6" s="1"/>
  <c r="E23" i="6"/>
  <c r="J18" i="6" s="1"/>
  <c r="G23" i="6"/>
  <c r="L21" i="6" s="1"/>
  <c r="C23" i="5"/>
  <c r="E23" i="5"/>
  <c r="F23" i="5"/>
  <c r="G23" i="5"/>
  <c r="I23" i="5"/>
  <c r="J23" i="5"/>
  <c r="K23" i="5"/>
  <c r="L23" i="5"/>
  <c r="M23" i="5"/>
  <c r="N23" i="5"/>
  <c r="O23" i="5"/>
  <c r="P23" i="5"/>
  <c r="Q23" i="5"/>
  <c r="R23" i="5"/>
  <c r="U23" i="5"/>
  <c r="V23" i="5"/>
  <c r="W23" i="5"/>
  <c r="Y23" i="5"/>
  <c r="Z23" i="5"/>
  <c r="AA23" i="5"/>
  <c r="AC23" i="5"/>
  <c r="AD23" i="5"/>
  <c r="C24" i="5"/>
  <c r="E24" i="5"/>
  <c r="F24" i="5"/>
  <c r="G24" i="5"/>
  <c r="I24" i="5"/>
  <c r="J24" i="5"/>
  <c r="K24" i="5"/>
  <c r="L24" i="5"/>
  <c r="M24" i="5"/>
  <c r="N24" i="5"/>
  <c r="O24" i="5"/>
  <c r="P24" i="5"/>
  <c r="Q24" i="5"/>
  <c r="R24" i="5"/>
  <c r="U24" i="5"/>
  <c r="V24" i="5"/>
  <c r="W24" i="5"/>
  <c r="Y24" i="5"/>
  <c r="Z24" i="5"/>
  <c r="AA24" i="5"/>
  <c r="AC24" i="5"/>
  <c r="AD24" i="5"/>
  <c r="C25" i="5"/>
  <c r="E25" i="5"/>
  <c r="F25" i="5"/>
  <c r="G25" i="5"/>
  <c r="I25" i="5"/>
  <c r="J25" i="5"/>
  <c r="K25" i="5"/>
  <c r="L25" i="5"/>
  <c r="M25" i="5"/>
  <c r="N25" i="5"/>
  <c r="O25" i="5"/>
  <c r="P25" i="5"/>
  <c r="Q25" i="5"/>
  <c r="R25" i="5"/>
  <c r="U25" i="5"/>
  <c r="V25" i="5"/>
  <c r="W25" i="5"/>
  <c r="Y25" i="5"/>
  <c r="Z25" i="5"/>
  <c r="AA25" i="5"/>
  <c r="AC25" i="5"/>
  <c r="AD25" i="5"/>
  <c r="C26" i="5"/>
  <c r="E26" i="5"/>
  <c r="F26" i="5"/>
  <c r="G26" i="5"/>
  <c r="I26" i="5"/>
  <c r="J26" i="5"/>
  <c r="K26" i="5"/>
  <c r="L26" i="5"/>
  <c r="M26" i="5"/>
  <c r="N26" i="5"/>
  <c r="O26" i="5"/>
  <c r="P26" i="5"/>
  <c r="Q26" i="5"/>
  <c r="R26" i="5"/>
  <c r="U26" i="5"/>
  <c r="V26" i="5"/>
  <c r="W26" i="5"/>
  <c r="Y26" i="5"/>
  <c r="Z26" i="5"/>
  <c r="AA26" i="5"/>
  <c r="AC26" i="5"/>
  <c r="AD26" i="5"/>
  <c r="E22" i="5"/>
  <c r="F22" i="5"/>
  <c r="G22" i="5"/>
  <c r="I22" i="5"/>
  <c r="J22" i="5"/>
  <c r="K22" i="5"/>
  <c r="L22" i="5"/>
  <c r="M22" i="5"/>
  <c r="N22" i="5"/>
  <c r="O22" i="5"/>
  <c r="P22" i="5"/>
  <c r="Q22" i="5"/>
  <c r="R22" i="5"/>
  <c r="U22" i="5"/>
  <c r="V22" i="5"/>
  <c r="W22" i="5"/>
  <c r="Y22" i="5"/>
  <c r="Z22" i="5"/>
  <c r="AA22" i="5"/>
  <c r="AC22" i="5"/>
  <c r="AD22" i="5"/>
  <c r="C22" i="5"/>
  <c r="AA60" i="4"/>
  <c r="AC43" i="4"/>
  <c r="AB43" i="4"/>
  <c r="AD43" i="4"/>
  <c r="AB44" i="4"/>
  <c r="AC44" i="4"/>
  <c r="AD44" i="4"/>
  <c r="AB45" i="4"/>
  <c r="AC45" i="4"/>
  <c r="AD45" i="4"/>
  <c r="AB46" i="4"/>
  <c r="AC46" i="4"/>
  <c r="AD46" i="4"/>
  <c r="AC42" i="4"/>
  <c r="AD42" i="4"/>
  <c r="AB42" i="4"/>
  <c r="Z43" i="4"/>
  <c r="Z44" i="4"/>
  <c r="Z45" i="4"/>
  <c r="Z46" i="4"/>
  <c r="Z42" i="4"/>
  <c r="V43" i="4"/>
  <c r="W43" i="4"/>
  <c r="X43" i="4"/>
  <c r="V44" i="4"/>
  <c r="W44" i="4"/>
  <c r="X44" i="4"/>
  <c r="V45" i="4"/>
  <c r="W45" i="4"/>
  <c r="X45" i="4"/>
  <c r="V46" i="4"/>
  <c r="W46" i="4"/>
  <c r="X46" i="4"/>
  <c r="W42" i="4"/>
  <c r="X42" i="4"/>
  <c r="V42" i="4"/>
  <c r="T43" i="4"/>
  <c r="T44" i="4"/>
  <c r="T45" i="4"/>
  <c r="T46" i="4"/>
  <c r="T42" i="4"/>
  <c r="S43" i="4"/>
  <c r="S44" i="4"/>
  <c r="S45" i="4"/>
  <c r="S46" i="4"/>
  <c r="S42" i="4"/>
  <c r="C43" i="4"/>
  <c r="D43" i="4"/>
  <c r="E43" i="4"/>
  <c r="F43" i="4"/>
  <c r="G43" i="4"/>
  <c r="H43" i="4"/>
  <c r="I43" i="4"/>
  <c r="J43" i="4"/>
  <c r="K43" i="4"/>
  <c r="L43" i="4"/>
  <c r="M43" i="4"/>
  <c r="N43" i="4"/>
  <c r="O43" i="4"/>
  <c r="P43" i="4"/>
  <c r="Q43" i="4"/>
  <c r="R43" i="4"/>
  <c r="C44" i="4"/>
  <c r="D44" i="4"/>
  <c r="E44" i="4"/>
  <c r="F44" i="4"/>
  <c r="G44" i="4"/>
  <c r="H44" i="4"/>
  <c r="I44" i="4"/>
  <c r="J44" i="4"/>
  <c r="K44" i="4"/>
  <c r="L44" i="4"/>
  <c r="M44" i="4"/>
  <c r="N44" i="4"/>
  <c r="O44" i="4"/>
  <c r="P44" i="4"/>
  <c r="Q44" i="4"/>
  <c r="R44" i="4"/>
  <c r="C45" i="4"/>
  <c r="D45" i="4"/>
  <c r="E45" i="4"/>
  <c r="F45" i="4"/>
  <c r="G45" i="4"/>
  <c r="H45" i="4"/>
  <c r="I45" i="4"/>
  <c r="J45" i="4"/>
  <c r="K45" i="4"/>
  <c r="L45" i="4"/>
  <c r="M45" i="4"/>
  <c r="N45" i="4"/>
  <c r="O45" i="4"/>
  <c r="P45" i="4"/>
  <c r="Q45" i="4"/>
  <c r="R45" i="4"/>
  <c r="C46" i="4"/>
  <c r="D46" i="4"/>
  <c r="E46" i="4"/>
  <c r="F46" i="4"/>
  <c r="G46" i="4"/>
  <c r="H46" i="4"/>
  <c r="I46" i="4"/>
  <c r="J46" i="4"/>
  <c r="K46" i="4"/>
  <c r="L46" i="4"/>
  <c r="M46" i="4"/>
  <c r="N46" i="4"/>
  <c r="O46" i="4"/>
  <c r="P46" i="4"/>
  <c r="Q46" i="4"/>
  <c r="R46" i="4"/>
  <c r="E42" i="4"/>
  <c r="E49" i="4"/>
  <c r="F42" i="4"/>
  <c r="G42" i="4"/>
  <c r="H42" i="4"/>
  <c r="I42" i="4"/>
  <c r="J42" i="4"/>
  <c r="K42" i="4"/>
  <c r="L42" i="4"/>
  <c r="M42" i="4"/>
  <c r="M50" i="4" s="1"/>
  <c r="N42" i="4"/>
  <c r="O42" i="4"/>
  <c r="P42" i="4"/>
  <c r="P50" i="4" s="1"/>
  <c r="Q42" i="4"/>
  <c r="R42" i="4"/>
  <c r="D42" i="4"/>
  <c r="F50" i="4"/>
  <c r="N50" i="4"/>
  <c r="C42" i="4"/>
  <c r="AA50" i="4"/>
  <c r="Y50" i="4"/>
  <c r="Y61" i="4" s="1"/>
  <c r="U50" i="4"/>
  <c r="AA49" i="4"/>
  <c r="Y49" i="4"/>
  <c r="U49" i="4"/>
  <c r="Q49" i="4"/>
  <c r="J42" i="6" l="1"/>
  <c r="J40" i="6"/>
  <c r="J43" i="6"/>
  <c r="J41" i="6"/>
  <c r="D45" i="6"/>
  <c r="G45" i="6"/>
  <c r="F45" i="6"/>
  <c r="C45" i="6"/>
  <c r="L22" i="6"/>
  <c r="L19" i="6"/>
  <c r="L20" i="6"/>
  <c r="L18" i="6"/>
  <c r="J21" i="6"/>
  <c r="J20" i="6"/>
  <c r="J19" i="6"/>
  <c r="J22" i="6"/>
  <c r="I22" i="6"/>
  <c r="I21" i="6"/>
  <c r="I20" i="6"/>
  <c r="I19" i="6"/>
  <c r="F23" i="6"/>
  <c r="K18" i="6" s="1"/>
  <c r="H22" i="6"/>
  <c r="H21" i="6"/>
  <c r="H20" i="6"/>
  <c r="H19" i="6"/>
  <c r="AA59" i="4"/>
  <c r="AA61" i="4"/>
  <c r="AA58" i="4"/>
  <c r="Y58" i="4"/>
  <c r="Q50" i="4"/>
  <c r="Q57" i="4" s="1"/>
  <c r="AA57" i="4"/>
  <c r="U59" i="4"/>
  <c r="V58" i="4"/>
  <c r="P59" i="4"/>
  <c r="V57" i="4"/>
  <c r="I50" i="4"/>
  <c r="Y60" i="4"/>
  <c r="O50" i="4"/>
  <c r="G49" i="4"/>
  <c r="U61" i="4"/>
  <c r="Y57" i="4"/>
  <c r="E50" i="4"/>
  <c r="E61" i="4" s="1"/>
  <c r="C49" i="4"/>
  <c r="U58" i="4"/>
  <c r="H49" i="4"/>
  <c r="H50" i="4"/>
  <c r="H60" i="4" s="1"/>
  <c r="H25" i="5" s="1"/>
  <c r="L49" i="4"/>
  <c r="D49" i="4"/>
  <c r="Y59" i="4"/>
  <c r="M49" i="4"/>
  <c r="M60" i="4" s="1"/>
  <c r="L50" i="4"/>
  <c r="U60" i="4"/>
  <c r="AA67" i="4"/>
  <c r="P49" i="4"/>
  <c r="P58" i="4" s="1"/>
  <c r="D50" i="4"/>
  <c r="K49" i="4"/>
  <c r="R49" i="4"/>
  <c r="J50" i="4"/>
  <c r="J57" i="4" s="1"/>
  <c r="U57" i="4"/>
  <c r="AA66" i="4"/>
  <c r="Z50" i="4"/>
  <c r="Z58" i="4" s="1"/>
  <c r="X50" i="4"/>
  <c r="X58" i="4" s="1"/>
  <c r="X23" i="5" s="1"/>
  <c r="AD50" i="4"/>
  <c r="AD49" i="4"/>
  <c r="AC50" i="4"/>
  <c r="AC61" i="4" s="1"/>
  <c r="AC49" i="4"/>
  <c r="AB50" i="4"/>
  <c r="AB49" i="4"/>
  <c r="Z49" i="4"/>
  <c r="W49" i="4"/>
  <c r="W50" i="4"/>
  <c r="W58" i="4" s="1"/>
  <c r="X49" i="4"/>
  <c r="V49" i="4"/>
  <c r="V50" i="4"/>
  <c r="V59" i="4" s="1"/>
  <c r="T49" i="4"/>
  <c r="T50" i="4"/>
  <c r="S50" i="4"/>
  <c r="S49" i="4"/>
  <c r="I49" i="4"/>
  <c r="I58" i="4" s="1"/>
  <c r="J49" i="4"/>
  <c r="O49" i="4"/>
  <c r="G50" i="4"/>
  <c r="G57" i="4" s="1"/>
  <c r="K50" i="4"/>
  <c r="R50" i="4"/>
  <c r="F49" i="4"/>
  <c r="F59" i="4" s="1"/>
  <c r="N49" i="4"/>
  <c r="N59" i="4" s="1"/>
  <c r="C50" i="4"/>
  <c r="C58" i="4" s="1"/>
  <c r="D59" i="4" l="1"/>
  <c r="D24" i="5" s="1"/>
  <c r="H61" i="4"/>
  <c r="H26" i="5" s="1"/>
  <c r="L23" i="6"/>
  <c r="H43" i="6"/>
  <c r="H44" i="6"/>
  <c r="H40" i="6"/>
  <c r="H41" i="6"/>
  <c r="H42" i="6"/>
  <c r="L41" i="6"/>
  <c r="L43" i="6"/>
  <c r="L44" i="6"/>
  <c r="L40" i="6"/>
  <c r="L42" i="6"/>
  <c r="K41" i="6"/>
  <c r="K44" i="6"/>
  <c r="K43" i="6"/>
  <c r="K42" i="6"/>
  <c r="K40" i="6"/>
  <c r="J45" i="6"/>
  <c r="I44" i="6"/>
  <c r="I42" i="6"/>
  <c r="I41" i="6"/>
  <c r="I43" i="6"/>
  <c r="I40" i="6"/>
  <c r="H23" i="6"/>
  <c r="J23" i="6"/>
  <c r="I23" i="6"/>
  <c r="M18" i="6"/>
  <c r="K20" i="6"/>
  <c r="K22" i="6"/>
  <c r="K19" i="6"/>
  <c r="K21" i="6"/>
  <c r="Q66" i="4"/>
  <c r="E58" i="4"/>
  <c r="Q58" i="4"/>
  <c r="P60" i="4"/>
  <c r="E59" i="4"/>
  <c r="Q61" i="4"/>
  <c r="Q59" i="4"/>
  <c r="Q67" i="4" s="1"/>
  <c r="AB59" i="4"/>
  <c r="AB24" i="5" s="1"/>
  <c r="Q60" i="4"/>
  <c r="U67" i="4"/>
  <c r="M61" i="4"/>
  <c r="J58" i="4"/>
  <c r="P57" i="4"/>
  <c r="P67" i="4" s="1"/>
  <c r="G59" i="4"/>
  <c r="K61" i="4"/>
  <c r="P61" i="4"/>
  <c r="P66" i="4" s="1"/>
  <c r="Y66" i="4"/>
  <c r="T60" i="4"/>
  <c r="T25" i="5" s="1"/>
  <c r="R58" i="4"/>
  <c r="AD60" i="4"/>
  <c r="AD59" i="4"/>
  <c r="U66" i="4"/>
  <c r="S57" i="4"/>
  <c r="S22" i="5" s="1"/>
  <c r="S58" i="4"/>
  <c r="S23" i="5" s="1"/>
  <c r="S60" i="4"/>
  <c r="S25" i="5" s="1"/>
  <c r="Z60" i="4"/>
  <c r="Z59" i="4"/>
  <c r="L57" i="4"/>
  <c r="Z61" i="4"/>
  <c r="I60" i="4"/>
  <c r="X60" i="4"/>
  <c r="X25" i="5" s="1"/>
  <c r="F57" i="4"/>
  <c r="R60" i="4"/>
  <c r="R61" i="4"/>
  <c r="R59" i="4"/>
  <c r="T57" i="4"/>
  <c r="T22" i="5" s="1"/>
  <c r="J60" i="4"/>
  <c r="J61" i="4"/>
  <c r="J59" i="4"/>
  <c r="J67" i="4" s="1"/>
  <c r="V60" i="4"/>
  <c r="V66" i="4" s="1"/>
  <c r="I57" i="4"/>
  <c r="I61" i="4"/>
  <c r="T59" i="4"/>
  <c r="T24" i="5" s="1"/>
  <c r="V61" i="4"/>
  <c r="E57" i="4"/>
  <c r="E66" i="4" s="1"/>
  <c r="M58" i="4"/>
  <c r="N57" i="4"/>
  <c r="I59" i="4"/>
  <c r="K57" i="4"/>
  <c r="K60" i="4"/>
  <c r="AB58" i="4"/>
  <c r="AB23" i="5" s="1"/>
  <c r="AB61" i="4"/>
  <c r="AB26" i="5" s="1"/>
  <c r="AB57" i="4"/>
  <c r="AB22" i="5" s="1"/>
  <c r="Y67" i="4"/>
  <c r="AD61" i="4"/>
  <c r="AB60" i="4"/>
  <c r="AB25" i="5" s="1"/>
  <c r="F60" i="4"/>
  <c r="G61" i="4"/>
  <c r="G60" i="4"/>
  <c r="D58" i="4"/>
  <c r="D23" i="5" s="1"/>
  <c r="H58" i="4"/>
  <c r="H23" i="5" s="1"/>
  <c r="Z57" i="4"/>
  <c r="R57" i="4"/>
  <c r="L59" i="4"/>
  <c r="M59" i="4"/>
  <c r="N58" i="4"/>
  <c r="W59" i="4"/>
  <c r="W57" i="4"/>
  <c r="AD57" i="4"/>
  <c r="F58" i="4"/>
  <c r="AC59" i="4"/>
  <c r="AC60" i="4"/>
  <c r="AC58" i="4"/>
  <c r="D57" i="4"/>
  <c r="D22" i="5" s="1"/>
  <c r="L58" i="4"/>
  <c r="W61" i="4"/>
  <c r="W60" i="4"/>
  <c r="T61" i="4"/>
  <c r="T26" i="5" s="1"/>
  <c r="L61" i="4"/>
  <c r="K58" i="4"/>
  <c r="D61" i="4"/>
  <c r="D26" i="5" s="1"/>
  <c r="E60" i="4"/>
  <c r="F61" i="4"/>
  <c r="C57" i="4"/>
  <c r="C59" i="4"/>
  <c r="X59" i="4"/>
  <c r="X24" i="5" s="1"/>
  <c r="X57" i="4"/>
  <c r="X22" i="5" s="1"/>
  <c r="X61" i="4"/>
  <c r="X26" i="5" s="1"/>
  <c r="C61" i="4"/>
  <c r="O61" i="4"/>
  <c r="O57" i="4"/>
  <c r="O60" i="4"/>
  <c r="M57" i="4"/>
  <c r="H59" i="4"/>
  <c r="H24" i="5" s="1"/>
  <c r="D60" i="4"/>
  <c r="D25" i="5" s="1"/>
  <c r="T58" i="4"/>
  <c r="T23" i="5" s="1"/>
  <c r="L60" i="4"/>
  <c r="G58" i="4"/>
  <c r="K59" i="4"/>
  <c r="N60" i="4"/>
  <c r="N61" i="4"/>
  <c r="AD58" i="4"/>
  <c r="S59" i="4"/>
  <c r="S24" i="5" s="1"/>
  <c r="S61" i="4"/>
  <c r="S26" i="5" s="1"/>
  <c r="AC57" i="4"/>
  <c r="O59" i="4"/>
  <c r="C60" i="4"/>
  <c r="O58" i="4"/>
  <c r="H57" i="4"/>
  <c r="H22" i="5" s="1"/>
  <c r="M21" i="6" l="1"/>
  <c r="M20" i="6"/>
  <c r="M19" i="6"/>
  <c r="M22" i="6"/>
  <c r="H45" i="6"/>
  <c r="M41" i="6"/>
  <c r="M42" i="6"/>
  <c r="L45" i="6"/>
  <c r="M40" i="6"/>
  <c r="M43" i="6"/>
  <c r="K45" i="6"/>
  <c r="M44" i="6"/>
  <c r="I45" i="6"/>
  <c r="O18" i="6" a="1"/>
  <c r="K23" i="6"/>
  <c r="X66" i="4"/>
  <c r="M66" i="4"/>
  <c r="G67" i="4"/>
  <c r="F67" i="4"/>
  <c r="F66" i="4"/>
  <c r="V67" i="4"/>
  <c r="Z66" i="4"/>
  <c r="Z67" i="4"/>
  <c r="N67" i="4"/>
  <c r="N66" i="4"/>
  <c r="S66" i="4"/>
  <c r="H66" i="4"/>
  <c r="H67" i="4"/>
  <c r="R66" i="4"/>
  <c r="R67" i="4"/>
  <c r="C66" i="4"/>
  <c r="C67" i="4"/>
  <c r="AD67" i="4"/>
  <c r="AD66" i="4"/>
  <c r="G66" i="4"/>
  <c r="J66" i="4"/>
  <c r="W66" i="4"/>
  <c r="W67" i="4"/>
  <c r="AC67" i="4"/>
  <c r="AC66" i="4"/>
  <c r="D67" i="4"/>
  <c r="D66" i="4"/>
  <c r="T67" i="4"/>
  <c r="T66" i="4"/>
  <c r="L67" i="4"/>
  <c r="L66" i="4"/>
  <c r="E67" i="4"/>
  <c r="M67" i="4"/>
  <c r="AB67" i="4"/>
  <c r="AB66" i="4"/>
  <c r="K66" i="4"/>
  <c r="O67" i="4"/>
  <c r="O66" i="4"/>
  <c r="X67" i="4"/>
  <c r="K67" i="4"/>
  <c r="I67" i="4"/>
  <c r="S67" i="4"/>
  <c r="I66" i="4"/>
  <c r="O40" i="6" l="1" a="1"/>
  <c r="Q43" i="6" s="1"/>
  <c r="O18" i="6"/>
  <c r="Q18" i="6" s="1"/>
  <c r="Q20" i="6"/>
  <c r="Q19" i="6"/>
  <c r="Q21" i="6"/>
  <c r="Q22" i="6"/>
  <c r="O40" i="6" l="1"/>
  <c r="Q40" i="6" s="1"/>
  <c r="Q44" i="6"/>
  <c r="Q42" i="6"/>
  <c r="Q41" i="6"/>
  <c r="D31" i="6"/>
  <c r="I29" i="6" s="1"/>
  <c r="I33" i="6" s="1"/>
  <c r="J33" i="6" s="1"/>
  <c r="D53" i="6" l="1"/>
  <c r="I51" i="6" s="1"/>
  <c r="I55" i="6" s="1"/>
  <c r="J55" i="6" s="1"/>
  <c r="AY22" i="5" l="1"/>
  <c r="E21" i="8"/>
  <c r="AX22" i="5"/>
  <c r="AZ22" i="5"/>
  <c r="BI22" i="5" l="1"/>
  <c r="G21" i="8"/>
  <c r="BH22" i="5"/>
  <c r="BG22" i="5"/>
  <c r="BA22" i="5"/>
  <c r="BD22" i="5"/>
  <c r="BF22" i="5"/>
  <c r="BE22" i="5"/>
  <c r="BB22" i="5"/>
  <c r="F21" i="8"/>
  <c r="BC22" i="5"/>
  <c r="AW22" i="5" l="1"/>
  <c r="AM22" i="5"/>
  <c r="AT22" i="5"/>
  <c r="AK22" i="5"/>
  <c r="D21" i="8"/>
  <c r="AS22" i="5"/>
  <c r="AI22" i="5"/>
  <c r="AQ22" i="5"/>
  <c r="AJ22" i="5"/>
  <c r="AN22" i="5"/>
  <c r="AO22" i="5"/>
  <c r="AH22" i="5"/>
  <c r="AL22" i="5"/>
  <c r="AR22" i="5"/>
  <c r="AV22" i="5"/>
  <c r="AU22" i="5"/>
  <c r="AP22" i="5"/>
  <c r="C33" i="5" l="1"/>
  <c r="C32" i="5"/>
  <c r="C31" i="5"/>
  <c r="C35" i="5"/>
  <c r="C34" i="5"/>
  <c r="H16" i="8"/>
  <c r="H17" i="8"/>
  <c r="H19" i="8"/>
  <c r="C28" i="8"/>
  <c r="C27" i="8"/>
  <c r="H20" i="8"/>
  <c r="H18" i="8"/>
  <c r="C25" i="8"/>
  <c r="C26" i="8"/>
  <c r="C29" i="8"/>
  <c r="I31" i="5" l="1"/>
  <c r="J31" i="5" s="1"/>
  <c r="O31" i="5" s="1"/>
  <c r="I32" i="5"/>
  <c r="J32" i="5" s="1"/>
  <c r="I33" i="5"/>
  <c r="J33" i="5" s="1"/>
  <c r="I34" i="5"/>
  <c r="J34" i="5" s="1"/>
  <c r="I35" i="5"/>
  <c r="J35" i="5" s="1"/>
  <c r="I28" i="8"/>
  <c r="J28" i="8" s="1"/>
  <c r="I27" i="8"/>
  <c r="J27" i="8" s="1"/>
  <c r="I25" i="8"/>
  <c r="J25" i="8" s="1"/>
  <c r="N25" i="8" s="1"/>
  <c r="I26" i="8"/>
  <c r="J26" i="8" s="1"/>
  <c r="I29" i="8"/>
  <c r="J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<sst xmlns="http://schemas.openxmlformats.org/spreadsheetml/2006/main" count="1162" uniqueCount="247">
  <si>
    <t>Herramienta de análisis para la selección de métodos de evaluación y medición del desempeño ambiental de un producto</t>
  </si>
  <si>
    <t>Criterios y subcriterios para la selección de desempeño ambiental:</t>
  </si>
  <si>
    <t>Impactos Ambientales Directos</t>
  </si>
  <si>
    <r>
      <t>Minimizar Cambio Climático:</t>
    </r>
    <r>
      <rPr>
        <sz val="11"/>
        <color theme="1"/>
        <rFont val="Calibri"/>
        <family val="2"/>
      </rPr>
      <t xml:space="preserve"> Evaluado por la reducción de emisiones de gases de efecto invernadero (en toneladas de CO₂e).</t>
    </r>
  </si>
  <si>
    <r>
      <t>Minimizar Consumo de Agua:</t>
    </r>
    <r>
      <rPr>
        <sz val="11"/>
        <color theme="1"/>
        <rFont val="Calibri"/>
        <family val="2"/>
      </rPr>
      <t xml:space="preserve"> Evaluado por la reducción en el uso de agua en los procesos (en m³).</t>
    </r>
  </si>
  <si>
    <r>
      <t>Minimizar Agotamiento de la Capa de Ozono:</t>
    </r>
    <r>
      <rPr>
        <sz val="11"/>
        <color theme="1"/>
        <rFont val="Calibri"/>
        <family val="2"/>
      </rPr>
      <t xml:space="preserve"> Evaluado por la reducción de sustancias que agotan la capa de ozono (en toneladas de CFC-11e).</t>
    </r>
  </si>
  <si>
    <r>
      <t>Minimizar Toxicidad Humana, Efectos Cancerígenos:</t>
    </r>
    <r>
      <rPr>
        <sz val="11"/>
        <color theme="1"/>
        <rFont val="Calibri"/>
        <family val="2"/>
      </rPr>
      <t xml:space="preserve"> Evaluado por la reducción de sustancias cancerígenas (en mg/m³).</t>
    </r>
  </si>
  <si>
    <r>
      <t>Minimizar Toxicidad Humana, Efectos No Cancerígenos:</t>
    </r>
    <r>
      <rPr>
        <sz val="11"/>
        <color theme="1"/>
        <rFont val="Calibri"/>
        <family val="2"/>
      </rPr>
      <t xml:space="preserve"> Evaluado por la reducción de sustancias tóxicas no cancerígenas (en mg/m³).</t>
    </r>
  </si>
  <si>
    <r>
      <t>Minimizar Partículas:</t>
    </r>
    <r>
      <rPr>
        <sz val="11"/>
        <color theme="1"/>
        <rFont val="Calibri"/>
        <family val="2"/>
      </rPr>
      <t xml:space="preserve"> Evaluado por la reducción de emisiones de partículas en suspensión (en toneladas).</t>
    </r>
  </si>
  <si>
    <r>
      <t>Minimizar Radiaciones Ionizantes, Salud Humana:</t>
    </r>
    <r>
      <rPr>
        <sz val="11"/>
        <color theme="1"/>
        <rFont val="Calibri"/>
        <family val="2"/>
      </rPr>
      <t xml:space="preserve"> Evaluado por la reducción de exposición a radiaciones ionizantes (en Sieverts).</t>
    </r>
  </si>
  <si>
    <r>
      <t>Minimizar Formación Fotoquímica de Ozono, Salud Humana:</t>
    </r>
    <r>
      <rPr>
        <sz val="11"/>
        <color theme="1"/>
        <rFont val="Calibri"/>
        <family val="2"/>
      </rPr>
      <t xml:space="preserve"> Evaluado por la reducción de emisiones de precursores de ozono troposférico (en toneladas de VOCs).</t>
    </r>
  </si>
  <si>
    <r>
      <t>Minimizar Acidificación:</t>
    </r>
    <r>
      <rPr>
        <sz val="11"/>
        <color theme="1"/>
        <rFont val="Calibri"/>
        <family val="2"/>
      </rPr>
      <t xml:space="preserve"> Evaluado por la reducción de emisiones de gases que causan acidificación (en toneladas de SO₂ y NOₓ).</t>
    </r>
  </si>
  <si>
    <r>
      <t>Minimizar Eutrofización, Terrestre:</t>
    </r>
    <r>
      <rPr>
        <sz val="11"/>
        <color theme="1"/>
        <rFont val="Calibri"/>
        <family val="2"/>
      </rPr>
      <t xml:space="preserve"> Evaluado por la reducción de nutrientes que causan eutrofización en suelos (en mg/kg).</t>
    </r>
  </si>
  <si>
    <r>
      <t>Minimizar Eutrofización, Agua Dulce:</t>
    </r>
    <r>
      <rPr>
        <sz val="11"/>
        <color theme="1"/>
        <rFont val="Calibri"/>
        <family val="2"/>
      </rPr>
      <t xml:space="preserve"> Evaluado por la reducción de nutrientes que causan eutrofización en cuerpos de agua dulce (en mg/L).</t>
    </r>
  </si>
  <si>
    <r>
      <t>Minimizar Eutrofización, Marina:</t>
    </r>
    <r>
      <rPr>
        <sz val="11"/>
        <color theme="1"/>
        <rFont val="Calibri"/>
        <family val="2"/>
      </rPr>
      <t xml:space="preserve"> Evaluado por la reducción de nutrientes que causan eutrofización en ecosistemas marinos (en mg/L).</t>
    </r>
  </si>
  <si>
    <r>
      <t>Minimizar Ecotoxicidad, Agua Dulce:</t>
    </r>
    <r>
      <rPr>
        <sz val="11"/>
        <color theme="1"/>
        <rFont val="Calibri"/>
        <family val="2"/>
      </rPr>
      <t xml:space="preserve"> Evaluado por la reducción de contaminantes tóxicos en cuerpos de agua dulce (en mg/L).</t>
    </r>
  </si>
  <si>
    <r>
      <t>Minimizar Uso de la Tierra:</t>
    </r>
    <r>
      <rPr>
        <sz val="11"/>
        <color theme="1"/>
        <rFont val="Calibri"/>
        <family val="2"/>
      </rPr>
      <t xml:space="preserve"> Evaluado por la reducción en el uso de tierra para la producción (en hectáreas).</t>
    </r>
  </si>
  <si>
    <r>
      <t>Minimizar Uso de los Recursos (Minerales y Metales):</t>
    </r>
    <r>
      <rPr>
        <sz val="11"/>
        <color theme="1"/>
        <rFont val="Calibri"/>
        <family val="2"/>
      </rPr>
      <t xml:space="preserve"> Evaluado por la reducción en el uso de minerales y metales en los productos (en toneladas).</t>
    </r>
  </si>
  <si>
    <r>
      <t>Minimizar Uso de los Recursos Fósiles:</t>
    </r>
    <r>
      <rPr>
        <sz val="11"/>
        <color theme="1"/>
        <rFont val="Calibri"/>
        <family val="2"/>
      </rPr>
      <t xml:space="preserve"> Evaluado por la reducción en el uso de combustibles fósiles (en toneladas).</t>
    </r>
  </si>
  <si>
    <t>Contexto Empresarial</t>
  </si>
  <si>
    <r>
      <t>Maximizar Sector:</t>
    </r>
    <r>
      <rPr>
        <sz val="11"/>
        <color theme="1"/>
        <rFont val="Calibri"/>
        <family val="2"/>
      </rPr>
      <t xml:space="preserve"> Evaluado por la adaptabilidad del método a diferentes sectores industriales (cualitativo).</t>
    </r>
  </si>
  <si>
    <r>
      <t>Maximizar Disponibilidad de Datos Ambientales:</t>
    </r>
    <r>
      <rPr>
        <sz val="11"/>
        <color theme="1"/>
        <rFont val="Calibri"/>
        <family val="2"/>
      </rPr>
      <t xml:space="preserve"> Evaluado por la facilidad de acceso a datos ambientales necesarios para el método (cualitativo).</t>
    </r>
  </si>
  <si>
    <t>Eficiencia y Efectividad</t>
  </si>
  <si>
    <r>
      <t>Maximizar Precisión:</t>
    </r>
    <r>
      <rPr>
        <sz val="11"/>
        <color theme="1"/>
        <rFont val="Calibri"/>
        <family val="2"/>
      </rPr>
      <t xml:space="preserve"> Evaluado por la exactitud y fiabilidad de los datos generados por el método (cualitativo).</t>
    </r>
  </si>
  <si>
    <r>
      <t>Maximizar Relevancia en Impactos:</t>
    </r>
    <r>
      <rPr>
        <sz val="11"/>
        <color theme="1"/>
        <rFont val="Calibri"/>
        <family val="2"/>
      </rPr>
      <t xml:space="preserve"> Evaluado por la capacidad del método para identificar y mitigar impactos ambientales significativos (cualitativo).</t>
    </r>
  </si>
  <si>
    <r>
      <t>Maximizar Facilidad de Uso:</t>
    </r>
    <r>
      <rPr>
        <sz val="11"/>
        <color theme="1"/>
        <rFont val="Calibri"/>
        <family val="2"/>
      </rPr>
      <t xml:space="preserve"> Evaluado por la facilidad de comprensión y uso del método por parte de los usuarios (cualitativo).</t>
    </r>
  </si>
  <si>
    <r>
      <t>Minimizar Costo:</t>
    </r>
    <r>
      <rPr>
        <sz val="11"/>
        <color theme="1"/>
        <rFont val="Calibri"/>
        <family val="2"/>
      </rPr>
      <t xml:space="preserve"> Evaluado por el costo asociado a la implementación y operación del método (en millones de pesos).</t>
    </r>
  </si>
  <si>
    <r>
      <t>Maximizar Alcance:</t>
    </r>
    <r>
      <rPr>
        <sz val="11"/>
        <color theme="1"/>
        <rFont val="Calibri"/>
        <family val="2"/>
      </rPr>
      <t xml:space="preserve"> Evaluado por la cobertura y aplicabilidad del método en diferentes sectores y productos (cualitativo).</t>
    </r>
  </si>
  <si>
    <r>
      <t>Minimizar Tiempo:</t>
    </r>
    <r>
      <rPr>
        <sz val="11"/>
        <color theme="1"/>
        <rFont val="Calibri"/>
        <family val="2"/>
      </rPr>
      <t xml:space="preserve"> Evaluado por el tiempo requerido para implementar y obtener resultados con el método (en meses).</t>
    </r>
  </si>
  <si>
    <t>Normativa y Compatibilidad</t>
  </si>
  <si>
    <r>
      <t>Maximizar Aplicación Colombiana:</t>
    </r>
    <r>
      <rPr>
        <sz val="11"/>
        <color theme="1"/>
        <rFont val="Calibri"/>
        <family val="2"/>
      </rPr>
      <t xml:space="preserve"> Evaluado por la alineación del método con las regulaciones y políticas ambientales específicas de Colombia (cualitativo).</t>
    </r>
  </si>
  <si>
    <r>
      <t>Maximizar Compatibilidad con Normas y Regulaciones:</t>
    </r>
    <r>
      <rPr>
        <sz val="11"/>
        <color theme="1"/>
        <rFont val="Calibri"/>
        <family val="2"/>
      </rPr>
      <t xml:space="preserve"> Evaluado por el grado de cumplimiento del método con estándares internacionales y locales (cualitativo).</t>
    </r>
  </si>
  <si>
    <r>
      <t>Minimizar Complejidad:</t>
    </r>
    <r>
      <rPr>
        <sz val="11"/>
        <color theme="1"/>
        <rFont val="Calibri"/>
        <family val="2"/>
      </rPr>
      <t xml:space="preserve"> Evaluado por el nivel de dificultad en la implementación y operación del método (cualitativo).</t>
    </r>
  </si>
  <si>
    <r>
      <t xml:space="preserve">Maximizar Aplicabilidad en la Fase de Diseño de Producto(TRL): </t>
    </r>
    <r>
      <rPr>
        <sz val="11"/>
        <color theme="1"/>
        <rFont val="Calibri"/>
        <family val="2"/>
      </rPr>
      <t>Evaluado por el nivel de madurez tecnológica (TRL) y/o nivel de la tecnología (de 1 a 9).</t>
    </r>
  </si>
  <si>
    <t>Cambio climático</t>
  </si>
  <si>
    <t>Agotamiento de la capa de ozono</t>
  </si>
  <si>
    <t>Toxicidad humana, efectos cancerígenos</t>
  </si>
  <si>
    <t>Toxicidad humana, efectos no cancerígenos</t>
  </si>
  <si>
    <t>Partículas</t>
  </si>
  <si>
    <t>Radiaciones ionizantes, salud humana</t>
  </si>
  <si>
    <t>Formación fotoquímica de ozono, salud humana</t>
  </si>
  <si>
    <t>Acidificación</t>
  </si>
  <si>
    <t>Eutrofización, terrestre</t>
  </si>
  <si>
    <t>Eutrofización, agua dulce</t>
  </si>
  <si>
    <t>Eutrofización, marina</t>
  </si>
  <si>
    <t>Ecotoxicidad, agua dulce</t>
  </si>
  <si>
    <t>Uso de la tierra</t>
  </si>
  <si>
    <t>Uso de los recursos, minerales y metales</t>
  </si>
  <si>
    <t>Contexto empresarial</t>
  </si>
  <si>
    <t>Disponibilidad de datos ambientales</t>
  </si>
  <si>
    <t>Aplicabilidad en la fase de diseño de producto (TRL)</t>
  </si>
  <si>
    <t>Relevancia en impactos</t>
  </si>
  <si>
    <t>Costo</t>
  </si>
  <si>
    <t>Alcance</t>
  </si>
  <si>
    <t>Aplicación colombiana</t>
  </si>
  <si>
    <t>Compatibilidad con normas y regulaciones</t>
  </si>
  <si>
    <t>Complejidad</t>
  </si>
  <si>
    <t>El árbol de jerarquías para analizar el problema de selección del metodo de desempeño ambiental es el siguiente:</t>
  </si>
  <si>
    <t>En el análisis del Proceso Analítico Jerárquico (AHP), la asignación de pesos a los criterios es una etapa crucial que determina la importancia relativa de cada criterio en la toma de decisiones. Este proceso implica la comparación de los criterios en pares para evaluar su prioridad y relevancia en el contexto específico del proyecto. La asignación de pesos permite cuantificar la influencia de cada criterio, facilitando una evaluación más objetiva y estructurada de las alternativas disponibles, y asegurando que las decisiones se alineen con los objetivos estratégicos y de sostenibilidad de la organización.</t>
  </si>
  <si>
    <t>alternativas de decisión</t>
  </si>
  <si>
    <t>Arbol Jeárquico</t>
  </si>
  <si>
    <t>Escala fundamental de Saaty</t>
  </si>
  <si>
    <t>Asignación de preferencias</t>
  </si>
  <si>
    <t>Nivel de importancia</t>
  </si>
  <si>
    <t>Definición</t>
  </si>
  <si>
    <t xml:space="preserve">Explicación </t>
  </si>
  <si>
    <t>2,4,6,8</t>
  </si>
  <si>
    <t>Igual importancia</t>
  </si>
  <si>
    <t>Importancia moderada</t>
  </si>
  <si>
    <t>Fuerte importancia</t>
  </si>
  <si>
    <t>Importancia muy fuerte o demostrada</t>
  </si>
  <si>
    <t>Importancia extrema</t>
  </si>
  <si>
    <t>Valores intermedios</t>
  </si>
  <si>
    <t>Dos elementos contribuyen igualmente al objetivo</t>
  </si>
  <si>
    <t>La experiencia y el juicio favorecen ligeramente un elemento sobre otro</t>
  </si>
  <si>
    <t>La experiencia y el juicio favorecen fuertemente un
elemento sobre otro.</t>
  </si>
  <si>
    <t>Un elemento se favorece muy fuertemente sobre
otro; su dominio es demostrado en la práctica.</t>
  </si>
  <si>
    <t>La evidencia que favorece un elemento sobre otro
es del orden de afirmación más alto posible.</t>
  </si>
  <si>
    <t>En casos necesarios.</t>
  </si>
  <si>
    <t>Para empezar, se debe tener en cuenta la escala fundamental de Saaty (de 1 a 9) se usa para establecer las preferencias en la matriz de comparaciones pareadas</t>
  </si>
  <si>
    <t>Matrices de comparaciones pareadas</t>
  </si>
  <si>
    <t>Los elementos que se comparan son del mismo orden, nivel o jerarquía</t>
  </si>
  <si>
    <t>Se establecen preferencias por pares de criterios (Escala fundamental de Saaty)</t>
  </si>
  <si>
    <r>
      <t xml:space="preserve">Hay una condición de reciprocidad, se cumple que en la matriz A, </t>
    </r>
    <r>
      <rPr>
        <b/>
        <sz val="16"/>
        <color theme="1"/>
        <rFont val="Calibri"/>
        <family val="2"/>
      </rPr>
      <t>a</t>
    </r>
    <r>
      <rPr>
        <b/>
        <sz val="9"/>
        <color theme="1"/>
        <rFont val="Calibri"/>
        <family val="2"/>
      </rPr>
      <t xml:space="preserve">ij </t>
    </r>
    <r>
      <rPr>
        <b/>
        <sz val="11"/>
        <color theme="1"/>
        <rFont val="Calibri"/>
        <family val="2"/>
      </rPr>
      <t xml:space="preserve">=1/ </t>
    </r>
    <r>
      <rPr>
        <b/>
        <sz val="14"/>
        <color theme="1"/>
        <rFont val="Calibri"/>
        <family val="2"/>
      </rPr>
      <t>a</t>
    </r>
    <r>
      <rPr>
        <b/>
        <sz val="8"/>
        <color theme="1"/>
        <rFont val="Calibri"/>
        <family val="2"/>
      </rPr>
      <t>ji</t>
    </r>
  </si>
  <si>
    <t>Importante</t>
  </si>
  <si>
    <t>*El elemento de la fila tiene dominancia sobre el elemento de la columna</t>
  </si>
  <si>
    <t>*Las comparaciones se hacen criterio a criterio</t>
  </si>
  <si>
    <t>Ejemplo:</t>
  </si>
  <si>
    <t>Matriz de comparaciones pareadas expresada en decimales</t>
  </si>
  <si>
    <t>Impactos ambientales</t>
  </si>
  <si>
    <t>Eficiencia y efectividad</t>
  </si>
  <si>
    <t>Normativa y compatibilidad</t>
  </si>
  <si>
    <t xml:space="preserve">Macro Criterios </t>
  </si>
  <si>
    <t>C1</t>
  </si>
  <si>
    <t>C2</t>
  </si>
  <si>
    <t>C3</t>
  </si>
  <si>
    <t>C4</t>
  </si>
  <si>
    <t>Normalizada</t>
  </si>
  <si>
    <t>Matriz de comparaciones pareadas normalizada</t>
  </si>
  <si>
    <t>Vector de ponderación 
Pesos</t>
  </si>
  <si>
    <t>Estimación de la razón de consistencia</t>
  </si>
  <si>
    <t>Permite verificar la consistencia de los juicios.</t>
  </si>
  <si>
    <t>Considere el caso en que: 
El criterio A es el doble de importante que B y el criterio B es el doble de importante que el C. Se requiere entonces una consistencia cardinal perfecta de que el criterio A se juzgue 4 veces más importante que C.</t>
  </si>
  <si>
    <r>
      <t>La razón de consistencia</t>
    </r>
    <r>
      <rPr>
        <b/>
        <sz val="11"/>
        <color theme="1"/>
        <rFont val="Calibri"/>
        <family val="2"/>
      </rPr>
      <t xml:space="preserve"> CR</t>
    </r>
    <r>
      <rPr>
        <sz val="11"/>
        <color theme="1"/>
        <rFont val="Calibri"/>
        <family val="2"/>
      </rPr>
      <t xml:space="preserve"> mide la magnitud de la diferencia entre la consistencia de los juicios con una consistencia perfecta.</t>
    </r>
  </si>
  <si>
    <t>Valores iguales o menores al 10% indican una consistencia razonable en las comparaciones pareadas</t>
  </si>
  <si>
    <t>Para cada tabla de comparaciones se desarrollan los siguientes pasos:</t>
  </si>
  <si>
    <r>
      <t xml:space="preserve">Cálculo de </t>
    </r>
    <r>
      <rPr>
        <b/>
        <sz val="11"/>
        <color theme="1"/>
        <rFont val="Calibri"/>
        <family val="2"/>
      </rPr>
      <t>IC</t>
    </r>
  </si>
  <si>
    <t>*</t>
  </si>
  <si>
    <r>
      <t xml:space="preserve">Multiplicar cada matriz de comparaciones </t>
    </r>
    <r>
      <rPr>
        <b/>
        <sz val="11"/>
        <color theme="1"/>
        <rFont val="Calibri"/>
        <family val="2"/>
      </rPr>
      <t xml:space="preserve">[A] </t>
    </r>
    <r>
      <rPr>
        <sz val="11"/>
        <color theme="1"/>
        <rFont val="Calibri"/>
        <family val="2"/>
      </rPr>
      <t xml:space="preserve">por el vector principal de ponderaciones </t>
    </r>
    <r>
      <rPr>
        <b/>
        <sz val="11"/>
        <color theme="1"/>
        <rFont val="Calibri"/>
        <family val="2"/>
      </rPr>
      <t>[B]</t>
    </r>
    <r>
      <rPr>
        <sz val="11"/>
        <color theme="1"/>
        <rFont val="Calibri"/>
        <family val="2"/>
      </rPr>
      <t xml:space="preserve"> para obtener un nuevo vector </t>
    </r>
    <r>
      <rPr>
        <b/>
        <sz val="11"/>
        <color theme="1"/>
        <rFont val="Calibri"/>
        <family val="2"/>
      </rPr>
      <t>[C]</t>
    </r>
  </si>
  <si>
    <r>
      <t xml:space="preserve">Se divide cada elemento de </t>
    </r>
    <r>
      <rPr>
        <b/>
        <sz val="11"/>
        <color theme="1"/>
        <rFont val="Calibri"/>
        <family val="2"/>
      </rPr>
      <t>[C]</t>
    </r>
    <r>
      <rPr>
        <sz val="11"/>
        <color theme="1"/>
        <rFont val="Calibri"/>
        <family val="2"/>
      </rPr>
      <t xml:space="preserve"> por su correspondiente elemento en </t>
    </r>
    <r>
      <rPr>
        <b/>
        <sz val="11"/>
        <color theme="1"/>
        <rFont val="Calibri"/>
        <family val="2"/>
      </rPr>
      <t>[B]</t>
    </r>
    <r>
      <rPr>
        <sz val="11"/>
        <color theme="1"/>
        <rFont val="Calibri"/>
        <family val="2"/>
      </rPr>
      <t xml:space="preserve"> Lo que da </t>
    </r>
    <r>
      <rPr>
        <b/>
        <sz val="11"/>
        <color theme="1"/>
        <rFont val="Calibri"/>
        <family val="2"/>
      </rPr>
      <t>[D]</t>
    </r>
  </si>
  <si>
    <r>
      <rPr>
        <b/>
        <sz val="11"/>
        <color theme="1"/>
        <rFont val="Calibri"/>
        <family val="2"/>
      </rPr>
      <t>λmax</t>
    </r>
    <r>
      <rPr>
        <sz val="11"/>
        <color theme="1"/>
        <rFont val="Calibri"/>
        <family val="2"/>
      </rPr>
      <t xml:space="preserve"> = Promedio de los elementos de </t>
    </r>
    <r>
      <rPr>
        <b/>
        <sz val="11"/>
        <color theme="1"/>
        <rFont val="Calibri"/>
        <family val="2"/>
      </rPr>
      <t>[D]</t>
    </r>
    <r>
      <rPr>
        <sz val="11"/>
        <color theme="1"/>
        <rFont val="Calibri"/>
        <family val="2"/>
      </rPr>
      <t xml:space="preserve"> (autovalor máximo)</t>
    </r>
  </si>
  <si>
    <t>λmax =</t>
  </si>
  <si>
    <t>Promedio [D]</t>
  </si>
  <si>
    <t>CI (indice de concistencia)</t>
  </si>
  <si>
    <t xml:space="preserve">Cálculo de IA </t>
  </si>
  <si>
    <t>RI (Concistencia aleatoria)</t>
  </si>
  <si>
    <t>Calcular CR</t>
  </si>
  <si>
    <t>Relación de concistencia</t>
  </si>
  <si>
    <t>Impactos ambientales directos</t>
  </si>
  <si>
    <t>Uso de los recursos  fósiles</t>
  </si>
  <si>
    <t>Consumo de Agua</t>
  </si>
  <si>
    <t xml:space="preserve">Consumo de agua </t>
  </si>
  <si>
    <t>Matriz de comparaciones pareadas  "Impactos ambientales director"</t>
  </si>
  <si>
    <t>Matriz de comparaciones pareadas  "Contexto empresarial"</t>
  </si>
  <si>
    <t xml:space="preserve">Contexto empresarial </t>
  </si>
  <si>
    <t xml:space="preserve">Sector </t>
  </si>
  <si>
    <t>Vector de ponderación</t>
  </si>
  <si>
    <t xml:space="preserve">Precisión </t>
  </si>
  <si>
    <t xml:space="preserve">Facilidad de uso </t>
  </si>
  <si>
    <t xml:space="preserve">Tiempo </t>
  </si>
  <si>
    <t>Matriz de comparaciones pareadas  "Eficiencia y efectividad"</t>
  </si>
  <si>
    <t>Vector ponderación /pesos</t>
  </si>
  <si>
    <t>Vector [A]*[B]</t>
  </si>
  <si>
    <t>Vector λ</t>
  </si>
  <si>
    <t>Normatividad y compatibilidad</t>
  </si>
  <si>
    <t>Vector ponderado</t>
  </si>
  <si>
    <t>Matriz de comparaciones pareadas  "Normatividad y compatibilidad"</t>
  </si>
  <si>
    <t>PESOS GLOBALES</t>
  </si>
  <si>
    <t>Para cada criterio i de último nivel su peso global wi corresponde a la multiplicación de todos los pesos que le preceden en los niveles superiores.</t>
  </si>
  <si>
    <r>
      <t>Es decir, el peso del subcriterio "</t>
    </r>
    <r>
      <rPr>
        <b/>
        <sz val="11"/>
        <color theme="1"/>
        <rFont val="Calibri"/>
        <family val="2"/>
      </rPr>
      <t>Consumos de Agua</t>
    </r>
    <r>
      <rPr>
        <sz val="11"/>
        <color theme="1"/>
        <rFont val="Calibri"/>
        <family val="2"/>
      </rPr>
      <t>" es su peso local multiplicado por el peso de su nodo padre "</t>
    </r>
    <r>
      <rPr>
        <b/>
        <sz val="11"/>
        <color theme="1"/>
        <rFont val="Calibri"/>
        <family val="2"/>
      </rPr>
      <t>Impactos ambientales</t>
    </r>
    <r>
      <rPr>
        <sz val="11"/>
        <color theme="1"/>
        <rFont val="Calibri"/>
        <family val="2"/>
      </rPr>
      <t>".</t>
    </r>
  </si>
  <si>
    <t>Uso del Agua</t>
  </si>
  <si>
    <t>Toxicidad
humana,
efectos
cancerígenos</t>
  </si>
  <si>
    <t>Toxicidad
humana,
efectos no
cancerígenos</t>
  </si>
  <si>
    <t>Eutrofización,
terrestre</t>
  </si>
  <si>
    <t>Eutrofización,
agua dulce</t>
  </si>
  <si>
    <t>Eutrofización,
marina</t>
  </si>
  <si>
    <t>Ecotoxicidad,
agua dulce</t>
  </si>
  <si>
    <t>Uso de la
tierra</t>
  </si>
  <si>
    <t>Uso de los
recursos  fósiles</t>
  </si>
  <si>
    <t>Cambio  climático</t>
  </si>
  <si>
    <t xml:space="preserve">Criterio </t>
  </si>
  <si>
    <t>Uso de Agua</t>
  </si>
  <si>
    <t>kg CO2 eq</t>
  </si>
  <si>
    <t>m3</t>
  </si>
  <si>
    <t>kg CFC-11 eq</t>
  </si>
  <si>
    <t>(CTUh)</t>
  </si>
  <si>
    <t>Toneladas</t>
  </si>
  <si>
    <t>equivalente de
U235</t>
  </si>
  <si>
    <t>kg equivalentes de COVNM</t>
  </si>
  <si>
    <t>mol equivalente de H+</t>
  </si>
  <si>
    <t>Mol equivalente de N</t>
  </si>
  <si>
    <t>kg equivalentes de P</t>
  </si>
  <si>
    <t>kg equivalentes de N</t>
  </si>
  <si>
    <t>CTUe</t>
  </si>
  <si>
    <t>Adimensional (pt)</t>
  </si>
  <si>
    <t>kg equivalentes de Sb</t>
  </si>
  <si>
    <t>MJ</t>
  </si>
  <si>
    <t>cualitativo</t>
  </si>
  <si>
    <t>Millones</t>
  </si>
  <si>
    <t>Meses</t>
  </si>
  <si>
    <t>Alternativas
(Metodo de desempeño ambiental)</t>
  </si>
  <si>
    <t>Analisis de ciclo de vida (ACV)</t>
  </si>
  <si>
    <t>Muchos</t>
  </si>
  <si>
    <t>Moderados</t>
  </si>
  <si>
    <t>Significantes</t>
  </si>
  <si>
    <t>Índice de desempeño (EPI)</t>
  </si>
  <si>
    <t>Pocos</t>
  </si>
  <si>
    <t>Evaluación de impacto ambiental (EIA)</t>
  </si>
  <si>
    <t xml:space="preserve">Max o Min </t>
  </si>
  <si>
    <t>Min</t>
  </si>
  <si>
    <t>Max</t>
  </si>
  <si>
    <t xml:space="preserve">0 A 9 </t>
  </si>
  <si>
    <t>Análisis de eficiencia ambiental</t>
  </si>
  <si>
    <t>PAS 2050 (Huella de carbono)</t>
  </si>
  <si>
    <t>Notar que los criterios están en diferentes unidades y en diferentes sentidos de optimización por lo que se requiere normalizar, es decir, llevarlos todos a la misma escala</t>
  </si>
  <si>
    <r>
      <t xml:space="preserve">Se debe hacer una </t>
    </r>
    <r>
      <rPr>
        <b/>
        <sz val="11"/>
        <color theme="1"/>
        <rFont val="Calibri"/>
        <family val="2"/>
      </rPr>
      <t>normalización</t>
    </r>
    <r>
      <rPr>
        <sz val="11"/>
        <color theme="1"/>
        <rFont val="Calibri"/>
        <family val="2"/>
      </rPr>
      <t xml:space="preserve"> de los datos</t>
    </r>
  </si>
  <si>
    <t>Los valores de los criterios para minimizar se multiplican por 1</t>
  </si>
  <si>
    <t>Para cada criterio i se eligen los valores máximos y mínimos Zimax y Zimin</t>
  </si>
  <si>
    <t>Cada término de la matriz de consecuencias se normaliza así:</t>
  </si>
  <si>
    <t>Escala de valoración criterio problemas legales:</t>
  </si>
  <si>
    <t xml:space="preserve">Descripción </t>
  </si>
  <si>
    <t>Valoración</t>
  </si>
  <si>
    <r>
      <t xml:space="preserve">Para el Caso 1, cuando se tienen los datos de las alternativas versus criterios (matriz de pagos o matriz de consecuencias) que se muestran en esta pestaña, el análisis multicriterio AHP comienza con la normalización de la matriz de pagos </t>
    </r>
    <r>
      <rPr>
        <b/>
        <sz val="18"/>
        <color theme="1"/>
        <rFont val="Calibri"/>
        <family val="2"/>
      </rPr>
      <t>Z</t>
    </r>
    <r>
      <rPr>
        <b/>
        <sz val="12"/>
        <color theme="1"/>
        <rFont val="Calibri"/>
        <family val="2"/>
      </rPr>
      <t xml:space="preserve">ij </t>
    </r>
    <r>
      <rPr>
        <sz val="12"/>
        <color theme="1"/>
        <rFont val="Calibri"/>
        <family val="2"/>
      </rPr>
      <t xml:space="preserve">para obtener </t>
    </r>
    <r>
      <rPr>
        <sz val="18"/>
        <color theme="1"/>
        <rFont val="Calibri"/>
        <family val="2"/>
      </rPr>
      <t>Z</t>
    </r>
    <r>
      <rPr>
        <sz val="12"/>
        <color theme="1"/>
        <rFont val="Calibri"/>
        <family val="2"/>
      </rPr>
      <t>´ij . Este proceso asegura que los valores de los distintos criterios sean comparables entre sí, facilitando una evaluación equilibrada y justa de las alternativas. La normalización de la matriz de consecuencias es un paso fundamental que permite transformar los datos originales en una forma que puede ser utilizada directamente para calcular los puntajes ponderados de cada alternativa, ayudando a identificar la mejor opción de acuerdo a los criterios establecidos.</t>
    </r>
  </si>
  <si>
    <t>PocoS</t>
  </si>
  <si>
    <t>Insignificantes</t>
  </si>
  <si>
    <t>Graficando el comportamiento de las alternativas respecto a cada criterio en un diagrama de perfil o en uno de radar, se aprecia lo siguiente:</t>
  </si>
  <si>
    <t>Gráfica que permite ver qué alternativas es mejor respecto a cada criterio</t>
  </si>
  <si>
    <t>Ninguna alternativa es dominada por otra (dominancia: una alternativa es mejor en todos los criterios)</t>
  </si>
  <si>
    <t>Para la priorización de alternativas utilizando el método AHP, la calificación definitiva de cada alternativa j, CAHP, se obtiene sumando sus pagos normalizados ponderados por los pesos globales asignados a cada criterio. Esta calificación permite identificar y priorizar las alternativas más adecuadas en función de los criterios evaluados, proporcionando una base sólida y objetiva para la toma de decisiones.</t>
  </si>
  <si>
    <t>Para AHP, la calificación definitiva de cada alternativa j, CAHP, se obtiene de la suma de sus pagos normalizados ponderada por los pesos globales, así:</t>
  </si>
  <si>
    <t>Donde C es el número de criterios de último nivel.</t>
  </si>
  <si>
    <t>Las alternativas se priorizan de mayor a menor calificación total C
AHP</t>
  </si>
  <si>
    <t xml:space="preserve">AHP </t>
  </si>
  <si>
    <t>C-AHP</t>
  </si>
  <si>
    <t>Posición</t>
  </si>
  <si>
    <t>Indice de desempeño Ambiental (EPI)</t>
  </si>
  <si>
    <t>A1</t>
  </si>
  <si>
    <t>A2</t>
  </si>
  <si>
    <t>A3</t>
  </si>
  <si>
    <t>A4</t>
  </si>
  <si>
    <t>A5</t>
  </si>
  <si>
    <t>Para la priorización de alternativas utilizando el método AHP, la calificación definitiva de cada alternativa j, CAHP, se obtiene multiplicando los pesos de cada alternativa por los pesos globales asignados a cada criterio. Esta calificación permite identificar y priorizar las alternativas más adecuadas en función de los criterios evaluados, proporcionando una base sólida y objetiva para la toma de decisiones.</t>
  </si>
  <si>
    <r>
      <t xml:space="preserve">En el análisis multicriterio AHP para el Caso 2, cuando no se cuenta con la matriz de pagos, el decisor realiza comparaciones directas entre las alternativas para formar una matriz </t>
    </r>
    <r>
      <rPr>
        <b/>
        <sz val="16"/>
        <color theme="1"/>
        <rFont val="Calibri"/>
        <family val="2"/>
      </rPr>
      <t>n*n</t>
    </r>
    <r>
      <rPr>
        <sz val="12"/>
        <color theme="1"/>
        <rFont val="Calibri"/>
        <family val="2"/>
      </rPr>
      <t xml:space="preserve"> de importancia relativa referente a cada criterio. Este enfoque es similar al utilizado para comparar los criterios, permitiendo al decisor evaluar la prioridad de cada alternativa en relación con las demás. Estas comparaciones proporcionan una estructura clara para determinar las preferencias del decisor, facilitando la posterior asignación de pesos y la priorización de las alternativas en función de su importancia relativa.</t>
    </r>
  </si>
  <si>
    <t>Criterio: Impacto ambiental</t>
  </si>
  <si>
    <t>Criterio:Contexto empresarial</t>
  </si>
  <si>
    <t>Criterio:Eficiencia y efectividad</t>
  </si>
  <si>
    <t>Criterio:Normatividad y compatibilidad</t>
  </si>
  <si>
    <t xml:space="preserve">A continuación, se realiza la matriz de alternativas n*n, comparando las alternativas con cada uno de los criterios.  </t>
  </si>
  <si>
    <t>Esto es realizar la matriz n*n comparando cada uno de los metodos de desempeño ambiental teniendo en cuenta el criterio Impacto Ambiental, Contexto empresarial, eficiencia y efectividad y normativa y compatibilidad</t>
  </si>
  <si>
    <t>Total</t>
  </si>
  <si>
    <t>Vector de Ponderación Criterios</t>
  </si>
  <si>
    <t>Criterios de decisión</t>
  </si>
  <si>
    <t>Valoración de alternativas Caso 1  (Con la matriz de consecuencias y datos)</t>
  </si>
  <si>
    <t>Resultado AHP  priorización Caso 1 (Con la matriz de consecuencias y datos)</t>
  </si>
  <si>
    <t>Valoración de alternativas Caso 2 (Sin la matriz de consecuencias y datos)</t>
  </si>
  <si>
    <t>Referencia</t>
  </si>
  <si>
    <t>SMITH, R., MESA, O., DYNER, I., JARAMILLO, P., POVEDA, G., VALENCIA, D. (2000). “Decisiones con Múltiples Objetivos e Incertidumbre” 2da edición. Universidad Nacional de Colombia, Facultad de Minas, Medellín, Colombia.</t>
  </si>
  <si>
    <t>Resultado AHP  priorización Caso 2 (Sin la matriz de consecuencias y datos)</t>
  </si>
  <si>
    <t>Matriz de consecuencia y/o pagos</t>
  </si>
  <si>
    <t xml:space="preserve">Para utilizar la herramienta, unicamente se puede modificar los campos en color amarillo </t>
  </si>
  <si>
    <t>Nota:</t>
  </si>
  <si>
    <t>Plan de Acción para el Cambio y la Variabilidad Climática del Valle de Aburrá (AMVA,2018)</t>
  </si>
  <si>
    <t>Para el resultado del analisis multicriterio AHP, se copian los vectores de ponderación de cada criterio respecto a las Alternativas de desempeño ambiental y se multiplican por el vector de pesos o ponderación de cada criterio.</t>
  </si>
  <si>
    <t>RI (Consistencia aleatoria)</t>
  </si>
  <si>
    <t>CI (indice de consistencia)</t>
  </si>
  <si>
    <r>
      <rPr>
        <b/>
        <sz val="12"/>
        <color theme="1"/>
        <rFont val="Calibri"/>
        <family val="2"/>
      </rPr>
      <t xml:space="preserve">C1, C2, C3 Y C4 </t>
    </r>
    <r>
      <rPr>
        <sz val="12"/>
        <color theme="1"/>
        <rFont val="Calibri"/>
        <family val="2"/>
      </rPr>
      <t xml:space="preserve">------&gt; 4 criterios , 4 macro-variables a tener en cuenta
</t>
    </r>
    <r>
      <rPr>
        <b/>
        <sz val="12"/>
        <color theme="1"/>
        <rFont val="Calibri"/>
        <family val="2"/>
      </rPr>
      <t xml:space="preserve">C1: </t>
    </r>
    <r>
      <rPr>
        <sz val="12"/>
        <color theme="1"/>
        <rFont val="Calibri"/>
        <family val="2"/>
      </rPr>
      <t xml:space="preserve">Impactos Ambientales Directos
</t>
    </r>
    <r>
      <rPr>
        <b/>
        <sz val="12"/>
        <color theme="1"/>
        <rFont val="Calibri"/>
        <family val="2"/>
      </rPr>
      <t>C2:</t>
    </r>
    <r>
      <rPr>
        <sz val="12"/>
        <color theme="1"/>
        <rFont val="Calibri"/>
        <family val="2"/>
      </rPr>
      <t xml:space="preserve"> Contexto empresarial
</t>
    </r>
    <r>
      <rPr>
        <b/>
        <sz val="12"/>
        <color theme="1"/>
        <rFont val="Calibri"/>
        <family val="2"/>
      </rPr>
      <t>C3</t>
    </r>
    <r>
      <rPr>
        <sz val="12"/>
        <color theme="1"/>
        <rFont val="Calibri"/>
        <family val="2"/>
      </rPr>
      <t xml:space="preserve">:Eficiencia y Efectividad
</t>
    </r>
    <r>
      <rPr>
        <b/>
        <sz val="12"/>
        <color theme="1"/>
        <rFont val="Calibri"/>
        <family val="2"/>
      </rPr>
      <t>C4</t>
    </r>
    <r>
      <rPr>
        <sz val="12"/>
        <color theme="1"/>
        <rFont val="Calibri"/>
        <family val="2"/>
      </rPr>
      <t xml:space="preserve">:Normativa y Compatibilidad
</t>
    </r>
  </si>
  <si>
    <r>
      <t xml:space="preserve">La evaluación del desempeño ambiental de un producto es una tarea compleja que requiere la gestión y ponderación de múltiples factores, indicadores e incertidumbres. Tomar decisiones informadas en este contexto es fundamental para avanzar hacia un desarrollo más sostenible y responsable.
Esta herramienta es útil en procesos de consultoría corporativa que pretendan incorporar la evaluación del desempeño ambiental durante el diseño de nuevos productos, ha sido desarrollada como un sistema de apoyo a la decisión, aplicando el Proceso de Jerarquía Analítica (AHP), un método de decisión multicriterio para resolver problemas complejos.
El objetivo principal de esta herramienta es proporcionar a los usuarios un marco de trabajo estructurado y científico para analizar, comparar y seleccionar alternativas de evaluación del desempeño ambiental de un producto. Para ello, la herramienta descompone el problema en una estructura jerárquica de criterios y subcriterios, permitiendo al usuario cuantificar sus preferencias mediante comparaciones pareadas. 
Se establecieron cuatro grupos de criterios para la selección del método:
</t>
    </r>
    <r>
      <rPr>
        <b/>
        <sz val="12"/>
        <color theme="1"/>
        <rFont val="Calibri"/>
        <family val="2"/>
      </rPr>
      <t xml:space="preserve">C1: Impactos Ambientales Directos
C2: Contexto empresarial
C3:Eficiencia y Efectividad
C4:Normativa y Compatibilidad
</t>
    </r>
    <r>
      <rPr>
        <sz val="12"/>
        <color theme="1"/>
        <rFont val="Calibri"/>
        <family val="2"/>
      </rPr>
      <t xml:space="preserve">
El resultado es una priorización clara y fundamentada, que identifica la alternativa más sostenible de acuerdo con los objetivos y juicios de valor establecidos por el propio usuario.</t>
    </r>
  </si>
  <si>
    <t xml:space="preserve">La herramienta sigue el siguiente flujo de información para identificar las alternativas. </t>
  </si>
  <si>
    <t>A continuación se pone el vector de pesos globales y locales de los subcriterios:</t>
  </si>
  <si>
    <t>G</t>
  </si>
  <si>
    <t>L</t>
  </si>
  <si>
    <t>Facilidad de uso</t>
  </si>
  <si>
    <r>
      <rPr>
        <b/>
        <sz val="11"/>
        <color theme="1"/>
        <rFont val="Aptos Narrow"/>
        <family val="2"/>
        <scheme val="minor"/>
      </rPr>
      <t>1. Normativa y Compatibilidad (Peso global: 53.3%, local: 53.33%)</t>
    </r>
    <r>
      <rPr>
        <sz val="11"/>
        <color theme="1"/>
        <rFont val="Aptos Narrow"/>
        <family val="2"/>
        <scheme val="minor"/>
      </rPr>
      <t xml:space="preserve">
Este es, con diferencia, el criterio más relevante dentro del modelo, representando más de la mitad del peso total. Refleja la importancia de asegurar que el desempeño ambiental se alinee con las regulaciones locales y normativas generales.
Subcriterios clave dentro de "Normativa y Compatibilidad":
• Aplicación colombiana (G: 34.31%, L: 64.3%): Es el subcriterio más importante dentro de esta categoría, evidenciando una fuerte orientación hacia la aplicabilidad nacional del método.
• Compatibilidad con normas y regulaciones (G: 15.08%, L: 28.3%): Destaca la necesidad de que el método se alinee con marcos regulatorios amplios.
• Complejidad (G: 3.93%, L: 7.4%): Aunque menos relevante, se considera la facilidad de implementación normativa.
</t>
    </r>
    <r>
      <rPr>
        <b/>
        <sz val="11"/>
        <color theme="1"/>
        <rFont val="Aptos Narrow"/>
        <family val="2"/>
        <scheme val="minor"/>
      </rPr>
      <t>2. Impactos Ambientales Directos (G: 26.6%, L: 26.6%)</t>
    </r>
    <r>
      <rPr>
        <sz val="11"/>
        <color theme="1"/>
        <rFont val="Aptos Narrow"/>
        <family val="2"/>
        <scheme val="minor"/>
      </rPr>
      <t xml:space="preserve">
Es el segundo criterio en importancia. A pesar de su peso inferior al normativo, los impactos ambientales directos siguen siendo un pilar clave en la evaluación.
Subcriterios clave:
• Consumo de agua (G: 3.33%, L: 12.5%): Es el subcriterio más relevante en esta categoría, dada la importancia del recurso hídrico.
• Toxicidad humana, efectos cancerígenos (G: 4.97%, L: 11.3%): Representa un riesgo crítico para la salud humana y por ende se valora con alto peso.
• Radiaciones ionizantes, salud humana (G: 2.62%, L: 8.9%): También se destaca por su impacto en la salud.
• Ecotoxicidad, agua dulce (G: 3.52%, L: 6.3%) y Cambio climático (G: 1.69%, L: 6.3%): Aunque con valores más bajos, siguen siendo relevantes.
</t>
    </r>
    <r>
      <rPr>
        <b/>
        <sz val="11"/>
        <color theme="1"/>
        <rFont val="Aptos Narrow"/>
        <family val="2"/>
        <scheme val="minor"/>
      </rPr>
      <t>3. Contexto Empresarial (G: 13.33%, L: 13.33%)</t>
    </r>
    <r>
      <rPr>
        <sz val="11"/>
        <color theme="1"/>
        <rFont val="Aptos Narrow"/>
        <family val="2"/>
        <scheme val="minor"/>
      </rPr>
      <t xml:space="preserve">
Este criterio ocupa el tercer lugar en prioridad, resaltando el papel del entorno empresarial en la implementación de métodos de desempeño ambiental.
Subcriterios clave:
• Aplicabilidad en la fase de diseño de producto (TRL) (G: 7.52%, L: 56.4%): Es el factor dominante en esta categoría, destacando la importancia del enfoque desde etapas tempranas.
• Sector (G: 4.79%, L: 35.9%): Evalúa la relación del método con sectores específicos.
• Disponibilidad de datos ambientales (G: 1.02%, L: 7.7%): Es el menos relevante del grupo, aunque necesario para una implementación efectiva.
</t>
    </r>
    <r>
      <rPr>
        <b/>
        <sz val="11"/>
        <color theme="1"/>
        <rFont val="Aptos Narrow"/>
        <family val="2"/>
        <scheme val="minor"/>
      </rPr>
      <t>4. Eficiencia y Efectividad (G: 6.67%, L: 6.67%)</t>
    </r>
    <r>
      <rPr>
        <sz val="11"/>
        <color theme="1"/>
        <rFont val="Aptos Narrow"/>
        <family val="2"/>
        <scheme val="minor"/>
      </rPr>
      <t xml:space="preserve">
Es el criterio con menor peso general. Aunque no es prioritario frente a los anteriores, proporciona indicadores importantes sobre la practicidad del método.
Subcriterios clave:
• Relevancia en impactos (G: 1.67%, L: 25.1%): Es el subcriterio con mayor peso dentro de esta categoría.
• Costo (G: 2.47%, L: 17.4%): También tiene una importancia considerable al evaluar la viabilidad económica del método.
• Tiempo (G: 1.13%, L: 17.6%) y Precisión (G: 0.52%, L: 7.8%): Tienen importancia moderada.
• Facilidad de uso (G: 0.61%, L: 6.2%) y Alcance (G: 0.24%, L: 1.6%): Son los menos relevantes, posiblemente negociables según las circunstancias del proyecto.</t>
    </r>
  </si>
  <si>
    <t>Subcriterios</t>
  </si>
  <si>
    <t>Criterios</t>
  </si>
  <si>
    <t>1. Contexto Empresarial (Peso global: 49.7%, local: 49.7%)
Este es, con diferencia, el criterio más relevante dentro del modelo, representando casi la mitad del peso total.
Subcriterios clave dentro de "Contexto Empresarial":
•	Aplicabilidad en la fase de diseño de producto (TRL) (G: 28.05%, L: 56.4%): La capacidad de aplicar el método de desempeño ambiental en fases tempranas del ciclo de vida del producto (Technology Readiness Level - TRL) se considera el factor más crítico.  RUTA
•	Sector (G: 17.8%, L: 35.9%): Evalúa la adecuación del método al sector empresarial correspondiente.
•	Disponibilidad de datos ambientales (G: 3.8%, L: 7.6%): Aunque relevante, tiene menor peso que los anteriores.
________________________________________
2. Normativa y Compatibilidad (G: 23.8%, L: 23.8%)
Es el segundo criterio en importancia, lo que refleja la necesidad de que cualquier método o acción esté alineado con normas y regulaciones.
Subcriterios clave:
•	Aplicación colombiana (G: 15.3%, L: 64.3%): Este es el subcriterio más importante dentro de esta categoría, lo que muestra un enfoque territorial claro.
•	Compatibilidad con normas y regulaciones (G: 6.7%, L: 28.3%): Considera la alineación con estándares normativos generales.
•	Complejidad (G: 1.7%, L: 7.4%): Evalúa la dificultad de implementar el método desde el punto de vista regulatorio.
________________________________________
3. Impactos Ambientales Directos (G: 16.8%, L: 16.8%)
Este criterio es el tercero en relevancia. Si bien los impactos ambientales directos son importantes, su peso es menor en comparación con los contextuales y normativos.
Subcriterios clave:
•	Toxicidad humana, efectos cancerígenos (G: 3.13%, L: 18.6%)
•	Ecotoxicidad en agua dulce (G: 2.22%, L: 13.2%)
•	Consumo de agua (G: 2.1%, L: 12.5%)
•	Cambio climático (G: 1.07%, L: 6.3%): Tiene un peso comparativamente bajo, lo cual puede discutirse en el análisis.
________________________________________
4. Eficiencia y Efectividad (G: 9.7%, L: 9.7%)
Es el criterio con menor peso global. Aunque sigue siendo relevante, se le otorga menor prioridad en la toma de decisiones.
Subcriterios clave:
•	Costo (G: 3.6%, L: 36.9%): Es el factor más influyente dentro de esta categoría.
•	Relevancia en impactos (G: 2.5%, L: 25.5%)
•	Tiempo (G: 1.6%, L: 16.9%)
•	Precisión (G: 0.8%, L: 7.8%) y Alcance (G: 0.3%, L: 3.5%): Tienen menor peso, lo que sugiere que podrían sacrificarse si otros factores clave se cumplen.</t>
  </si>
  <si>
    <t>Szabo, Z. K., Szádoczki, Z., Bozóki, S., Stanciulescu, G. C., &amp; Szabo, D. (2021). An analytic hierarchy process approach for prioritisation of strategic objectives of sustainable development. Sustainability (Switzerland), 13(4), 1–26. https://doi.org/10.3390/su13042254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</si>
</sst>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0"/>
    <numFmt numFmtId="167" formatCode="0.00000"/>
    <numFmt numFmtId="168" formatCode="0.0000"/>
    <numFmt numFmtId="169" formatCode="0.0%"/>
  </numFmts>
  <fonts count="23" x14ac:knownFonts="1">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Calibri"/>
      <family val="2"/>
    </font>
    <font>
      <b/>
      <sz val="12"/>
      <color theme="1"/>
      <name val="Calibri"/>
      <family val="2"/>
    </font>
    <font>
      <b/>
      <sz val="11"/>
      <color theme="1"/>
      <name val="Calibri"/>
      <family val="2"/>
    </font>
    <font>
      <b/>
      <sz val="14"/>
      <color theme="1"/>
      <name val="Calibri"/>
      <family val="2"/>
    </font>
    <font>
      <b/>
      <sz val="16"/>
      <color theme="1"/>
      <name val="Calibri"/>
      <family val="2"/>
    </font>
    <font>
      <b/>
      <sz val="18"/>
      <color theme="1"/>
      <name val="Calibri"/>
      <family val="2"/>
    </font>
    <font>
      <sz val="11"/>
      <color theme="1"/>
      <name val="Calibri"/>
      <family val="2"/>
    </font>
    <font>
      <b/>
      <sz val="9"/>
      <color theme="1"/>
      <name val="Calibri"/>
      <family val="2"/>
    </font>
    <font>
      <b/>
      <sz val="8"/>
      <color theme="1"/>
      <name val="Calibri"/>
      <family val="2"/>
    </font>
    <font>
      <sz val="11"/>
      <color theme="1"/>
      <name val="Malgun Gothic"/>
      <family val="2"/>
    </font>
    <font>
      <sz val="11"/>
      <color theme="0"/>
      <name val="Calibri"/>
      <family val="2"/>
    </font>
    <font>
      <sz val="11"/>
      <name val="Calibri"/>
      <family val="2"/>
    </font>
    <font>
      <sz val="10"/>
      <color theme="1"/>
      <name val="Calibri"/>
      <family val="2"/>
    </font>
    <font>
      <b/>
      <sz val="11"/>
      <color theme="1"/>
      <name val="Malgun Gothic"/>
      <family val="2"/>
    </font>
    <font>
      <b/>
      <sz val="10"/>
      <color theme="1"/>
      <name val="Calibri"/>
      <family val="2"/>
    </font>
    <font>
      <b/>
      <sz val="22"/>
      <color theme="1"/>
      <name val="Calibri"/>
      <family val="2"/>
    </font>
    <font>
      <b/>
      <sz val="22"/>
      <name val="Calibri"/>
      <family val="2"/>
    </font>
    <font>
      <sz val="18"/>
      <color theme="1"/>
      <name val="Calibri"/>
      <family val="2"/>
    </font>
    <font>
      <b/>
      <sz val="26"/>
      <name val="Aptos Narrow"/>
      <family val="2"/>
      <scheme val="minor"/>
    </font>
    <font>
      <b/>
      <sz val="48"/>
      <color theme="1"/>
      <name val="Calibri"/>
      <family val="2"/>
    </font>
  </fonts>
  <fills count="21">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DFF793"/>
        <bgColor indexed="64"/>
      </patternFill>
    </fill>
    <fill>
      <patternFill patternType="solid">
        <fgColor rgb="FFCCCCFF"/>
        <bgColor indexed="64"/>
      </patternFill>
    </fill>
    <fill>
      <patternFill patternType="solid">
        <fgColor rgb="FF9999FF"/>
        <bgColor indexed="64"/>
      </patternFill>
    </fill>
    <fill>
      <patternFill patternType="solid">
        <fgColor rgb="FFFFC000"/>
        <bgColor indexed="64"/>
      </patternFill>
    </fill>
    <fill>
      <patternFill patternType="solid">
        <fgColor rgb="FFFFE389"/>
        <bgColor indexed="64"/>
      </patternFill>
    </fill>
    <fill>
      <patternFill patternType="solid">
        <fgColor rgb="FF0DC5A2"/>
        <bgColor indexed="64"/>
      </patternFill>
    </fill>
    <fill>
      <patternFill patternType="solid">
        <fgColor rgb="FFD8FCF5"/>
        <bgColor indexed="64"/>
      </patternFill>
    </fill>
    <fill>
      <patternFill patternType="solid">
        <fgColor theme="1" tint="0.14999847407452621"/>
        <bgColor indexed="64"/>
      </patternFill>
    </fill>
    <fill>
      <patternFill patternType="solid">
        <fgColor rgb="FFFFFF9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2DD394"/>
        <bgColor indexed="64"/>
      </patternFill>
    </fill>
    <fill>
      <patternFill patternType="solid">
        <fgColor theme="4"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83CEBD"/>
        <bgColor indexed="64"/>
      </patternFill>
    </fill>
  </fills>
  <borders count="20">
    <border>
      <left/>
      <right/>
      <top/>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bottom/>
      <diagonal/>
    </border>
  </borders>
  <cellStyleXfs count="2">
    <xf numFmtId="0" fontId="0" fillId="0" borderId="0"/>
    <xf numFmtId="9" fontId="1" fillId="0" borderId="0" applyFont="0" applyFill="0" applyBorder="0" applyAlignment="0" applyProtection="0"/>
  </cellStyleXfs>
  <cellXfs count="244">
    <xf numFmtId="0" fontId="0" fillId="0" borderId="0" xfId="0"/>
    <xf numFmtId="0" fontId="0" fillId="2" borderId="0" xfId="0" applyFill="1"/>
    <xf numFmtId="0" fontId="2" fillId="2" borderId="0" xfId="0" applyFont="1" applyFill="1"/>
    <xf numFmtId="0" fontId="5" fillId="2" borderId="0" xfId="0" applyFont="1" applyFill="1"/>
    <xf numFmtId="0" fontId="4" fillId="2" borderId="0" xfId="0" applyFont="1" applyFill="1"/>
    <xf numFmtId="0" fontId="2" fillId="0" borderId="0" xfId="0" applyFont="1"/>
    <xf numFmtId="0" fontId="5" fillId="3" borderId="0" xfId="0" applyFont="1" applyFill="1"/>
    <xf numFmtId="0" fontId="0" fillId="3" borderId="0" xfId="0" applyFill="1"/>
    <xf numFmtId="0" fontId="0" fillId="4" borderId="0" xfId="0" applyFill="1"/>
    <xf numFmtId="0" fontId="5" fillId="4" borderId="0" xfId="0" applyFont="1" applyFill="1" applyAlignment="1">
      <alignment horizontal="left" vertical="center" indent="1"/>
    </xf>
    <xf numFmtId="0" fontId="0" fillId="5" borderId="0" xfId="0" applyFill="1"/>
    <xf numFmtId="0" fontId="5" fillId="5" borderId="0" xfId="0" applyFont="1" applyFill="1" applyAlignment="1">
      <alignment horizontal="left" vertical="center" indent="1"/>
    </xf>
    <xf numFmtId="0" fontId="5" fillId="6" borderId="0" xfId="0" applyFont="1" applyFill="1"/>
    <xf numFmtId="0" fontId="0" fillId="6" borderId="0" xfId="0" applyFill="1"/>
    <xf numFmtId="0" fontId="5" fillId="7" borderId="0" xfId="0" applyFont="1" applyFill="1"/>
    <xf numFmtId="0" fontId="0" fillId="7" borderId="0" xfId="0" applyFill="1"/>
    <xf numFmtId="0" fontId="0" fillId="8" borderId="0" xfId="0" applyFill="1"/>
    <xf numFmtId="0" fontId="5" fillId="8" borderId="0" xfId="0" applyFont="1" applyFill="1" applyAlignment="1">
      <alignment horizontal="left" vertical="center" indent="1"/>
    </xf>
    <xf numFmtId="0" fontId="5" fillId="9" borderId="0" xfId="0" applyFont="1" applyFill="1"/>
    <xf numFmtId="0" fontId="0" fillId="9" borderId="0" xfId="0" applyFill="1"/>
    <xf numFmtId="0" fontId="0" fillId="10" borderId="0" xfId="0" applyFill="1"/>
    <xf numFmtId="0" fontId="5" fillId="10" borderId="0" xfId="0" applyFont="1" applyFill="1" applyAlignment="1">
      <alignment horizontal="left" vertical="center" indent="1"/>
    </xf>
    <xf numFmtId="0" fontId="7" fillId="2" borderId="0" xfId="0" applyFont="1" applyFill="1" applyAlignment="1">
      <alignment horizontal="center" vertical="center"/>
    </xf>
    <xf numFmtId="0" fontId="0" fillId="2" borderId="0" xfId="0" applyFill="1" applyAlignment="1">
      <alignment horizontal="center" vertical="center"/>
    </xf>
    <xf numFmtId="0" fontId="9" fillId="2" borderId="0" xfId="0" applyFont="1" applyFill="1"/>
    <xf numFmtId="0" fontId="5" fillId="2" borderId="2" xfId="0" applyFont="1" applyFill="1" applyBorder="1"/>
    <xf numFmtId="0" fontId="7" fillId="2" borderId="0" xfId="0" applyFont="1" applyFill="1"/>
    <xf numFmtId="0" fontId="9" fillId="2" borderId="0" xfId="0" applyFont="1" applyFill="1" applyAlignment="1">
      <alignment horizontal="center" vertical="center"/>
    </xf>
    <xf numFmtId="0" fontId="9" fillId="2" borderId="0" xfId="0" applyFont="1" applyFill="1" applyAlignment="1">
      <alignment horizontal="center"/>
    </xf>
    <xf numFmtId="0" fontId="9" fillId="2" borderId="0" xfId="0" applyFont="1" applyFill="1" applyAlignment="1">
      <alignment horizontal="center" wrapText="1"/>
    </xf>
    <xf numFmtId="0" fontId="9" fillId="2" borderId="0" xfId="0" applyFont="1" applyFill="1" applyAlignment="1">
      <alignment wrapText="1"/>
    </xf>
    <xf numFmtId="0" fontId="0" fillId="0" borderId="12" xfId="0" applyBorder="1"/>
    <xf numFmtId="2" fontId="0" fillId="0" borderId="0" xfId="0" applyNumberFormat="1"/>
    <xf numFmtId="0" fontId="5" fillId="2" borderId="13" xfId="0" applyFont="1" applyFill="1" applyBorder="1" applyAlignment="1">
      <alignment vertical="center"/>
    </xf>
    <xf numFmtId="2" fontId="0" fillId="12" borderId="12" xfId="0" applyNumberFormat="1" applyFill="1" applyBorder="1" applyProtection="1">
      <protection locked="0"/>
    </xf>
    <xf numFmtId="0" fontId="9" fillId="2" borderId="0" xfId="0" applyFont="1" applyFill="1" applyAlignment="1">
      <alignment horizontal="right"/>
    </xf>
    <xf numFmtId="0" fontId="5" fillId="2" borderId="0" xfId="0" applyFont="1" applyFill="1" applyAlignment="1">
      <alignment horizontal="right"/>
    </xf>
    <xf numFmtId="0" fontId="5" fillId="2" borderId="0" xfId="0" applyFont="1" applyFill="1" applyAlignment="1">
      <alignment horizontal="right" vertical="center"/>
    </xf>
    <xf numFmtId="0" fontId="4" fillId="2" borderId="0" xfId="0" applyFont="1" applyFill="1" applyAlignment="1">
      <alignment horizontal="right"/>
    </xf>
    <xf numFmtId="168" fontId="9" fillId="2" borderId="0" xfId="0" applyNumberFormat="1" applyFont="1" applyFill="1"/>
    <xf numFmtId="0" fontId="5" fillId="2" borderId="0" xfId="0" applyFont="1" applyFill="1" applyAlignment="1">
      <alignment wrapText="1"/>
    </xf>
    <xf numFmtId="165" fontId="9" fillId="2" borderId="0" xfId="0" applyNumberFormat="1" applyFont="1" applyFill="1" applyAlignment="1">
      <alignment horizontal="left"/>
    </xf>
    <xf numFmtId="0" fontId="13" fillId="11" borderId="0" xfId="0" applyFont="1" applyFill="1" applyAlignment="1">
      <alignment wrapText="1"/>
    </xf>
    <xf numFmtId="2" fontId="9" fillId="12" borderId="12" xfId="0" applyNumberFormat="1" applyFont="1" applyFill="1" applyBorder="1" applyProtection="1">
      <protection locked="0"/>
    </xf>
    <xf numFmtId="0" fontId="15" fillId="3" borderId="12" xfId="0" applyFont="1" applyFill="1" applyBorder="1" applyAlignment="1">
      <alignment wrapText="1"/>
    </xf>
    <xf numFmtId="0" fontId="15" fillId="3" borderId="12" xfId="0" applyFont="1" applyFill="1" applyBorder="1" applyAlignment="1">
      <alignment vertical="center" wrapText="1"/>
    </xf>
    <xf numFmtId="2" fontId="2" fillId="0" borderId="12" xfId="0" applyNumberFormat="1" applyFont="1" applyBorder="1"/>
    <xf numFmtId="2" fontId="12" fillId="12" borderId="12" xfId="0" applyNumberFormat="1" applyFont="1" applyFill="1" applyBorder="1" applyAlignment="1" applyProtection="1">
      <alignment wrapText="1"/>
      <protection locked="0"/>
    </xf>
    <xf numFmtId="2" fontId="12" fillId="12" borderId="12" xfId="0" applyNumberFormat="1" applyFont="1" applyFill="1" applyBorder="1" applyAlignment="1" applyProtection="1">
      <alignment vertical="center" wrapText="1"/>
      <protection locked="0"/>
    </xf>
    <xf numFmtId="2" fontId="5" fillId="13" borderId="12" xfId="0" applyNumberFormat="1" applyFont="1" applyFill="1" applyBorder="1"/>
    <xf numFmtId="2" fontId="2" fillId="13" borderId="12" xfId="0" applyNumberFormat="1" applyFont="1" applyFill="1" applyBorder="1"/>
    <xf numFmtId="2" fontId="16" fillId="13" borderId="12" xfId="0" applyNumberFormat="1" applyFont="1" applyFill="1" applyBorder="1" applyAlignment="1">
      <alignment wrapText="1"/>
    </xf>
    <xf numFmtId="0" fontId="5" fillId="2" borderId="0" xfId="0" applyFont="1" applyFill="1" applyAlignment="1">
      <alignment vertical="top" wrapText="1"/>
    </xf>
    <xf numFmtId="0" fontId="14" fillId="3" borderId="0" xfId="0" applyFont="1" applyFill="1" applyAlignment="1">
      <alignment wrapText="1"/>
    </xf>
    <xf numFmtId="0" fontId="17" fillId="3" borderId="12" xfId="0" applyFont="1" applyFill="1" applyBorder="1" applyAlignment="1">
      <alignment wrapText="1"/>
    </xf>
    <xf numFmtId="0" fontId="17" fillId="3" borderId="12" xfId="0" applyFont="1" applyFill="1" applyBorder="1" applyAlignment="1">
      <alignment vertical="center" wrapText="1"/>
    </xf>
    <xf numFmtId="0" fontId="13" fillId="11" borderId="14" xfId="0" applyFont="1" applyFill="1" applyBorder="1" applyAlignment="1">
      <alignment wrapText="1"/>
    </xf>
    <xf numFmtId="0" fontId="15" fillId="3" borderId="15" xfId="0" applyFont="1" applyFill="1" applyBorder="1" applyAlignment="1">
      <alignment wrapText="1"/>
    </xf>
    <xf numFmtId="2" fontId="9" fillId="13" borderId="12" xfId="0" applyNumberFormat="1" applyFont="1" applyFill="1" applyBorder="1" applyProtection="1">
      <protection hidden="1"/>
    </xf>
    <xf numFmtId="0" fontId="5" fillId="0" borderId="0" xfId="0" applyFont="1" applyAlignment="1">
      <alignment horizontal="center" vertical="center" wrapText="1"/>
    </xf>
    <xf numFmtId="0" fontId="2" fillId="14" borderId="0" xfId="0" applyFont="1" applyFill="1" applyAlignment="1">
      <alignment wrapText="1"/>
    </xf>
    <xf numFmtId="0" fontId="0" fillId="13" borderId="0" xfId="0" applyFill="1"/>
    <xf numFmtId="0" fontId="0" fillId="12" borderId="0" xfId="0" applyFill="1" applyProtection="1">
      <protection locked="0"/>
    </xf>
    <xf numFmtId="0" fontId="2" fillId="7" borderId="0" xfId="0" applyFont="1" applyFill="1"/>
    <xf numFmtId="0" fontId="2" fillId="0" borderId="0" xfId="0" applyFont="1" applyAlignment="1">
      <alignment horizontal="center" vertical="center" wrapText="1"/>
    </xf>
    <xf numFmtId="0" fontId="2" fillId="7" borderId="0" xfId="0" applyFont="1" applyFill="1" applyAlignment="1">
      <alignment wrapText="1"/>
    </xf>
    <xf numFmtId="2" fontId="0" fillId="13" borderId="12" xfId="0" applyNumberFormat="1" applyFill="1" applyBorder="1"/>
    <xf numFmtId="2" fontId="2" fillId="0" borderId="0" xfId="0" applyNumberFormat="1" applyFont="1"/>
    <xf numFmtId="2" fontId="0" fillId="12" borderId="15" xfId="0" applyNumberFormat="1" applyFill="1" applyBorder="1" applyProtection="1">
      <protection locked="0"/>
    </xf>
    <xf numFmtId="2" fontId="0" fillId="13" borderId="15" xfId="0" applyNumberFormat="1" applyFill="1" applyBorder="1"/>
    <xf numFmtId="0" fontId="2" fillId="3" borderId="0" xfId="0" applyFont="1" applyFill="1" applyAlignment="1">
      <alignment wrapText="1"/>
    </xf>
    <xf numFmtId="0" fontId="2" fillId="16" borderId="0" xfId="0" applyFont="1" applyFill="1" applyAlignment="1">
      <alignment wrapText="1"/>
    </xf>
    <xf numFmtId="0" fontId="2" fillId="0" borderId="0" xfId="0" applyFont="1" applyAlignment="1">
      <alignment wrapText="1"/>
    </xf>
    <xf numFmtId="0" fontId="15" fillId="3" borderId="16" xfId="0" applyFont="1" applyFill="1" applyBorder="1" applyAlignment="1">
      <alignment wrapText="1"/>
    </xf>
    <xf numFmtId="0" fontId="17" fillId="14" borderId="0" xfId="0" applyFont="1" applyFill="1" applyAlignment="1">
      <alignment wrapText="1"/>
    </xf>
    <xf numFmtId="0" fontId="17" fillId="7" borderId="0" xfId="0" applyFont="1" applyFill="1"/>
    <xf numFmtId="0" fontId="17" fillId="7" borderId="0" xfId="0" applyFont="1" applyFill="1" applyAlignment="1">
      <alignment wrapText="1"/>
    </xf>
    <xf numFmtId="0" fontId="17" fillId="16" borderId="0" xfId="0" applyFont="1" applyFill="1" applyAlignment="1">
      <alignment wrapText="1"/>
    </xf>
    <xf numFmtId="2" fontId="19" fillId="0" borderId="12" xfId="1" applyNumberFormat="1" applyFont="1" applyBorder="1" applyAlignment="1">
      <alignment horizontal="center"/>
    </xf>
    <xf numFmtId="0" fontId="2" fillId="18" borderId="12" xfId="0" applyFont="1" applyFill="1" applyBorder="1" applyAlignment="1">
      <alignment wrapText="1"/>
    </xf>
    <xf numFmtId="0" fontId="0" fillId="0" borderId="12" xfId="0" applyBorder="1" applyAlignment="1">
      <alignment vertical="center" wrapText="1"/>
    </xf>
    <xf numFmtId="0" fontId="2" fillId="0" borderId="12" xfId="0" applyFont="1" applyBorder="1"/>
    <xf numFmtId="0" fontId="9" fillId="0" borderId="0" xfId="0" applyFont="1"/>
    <xf numFmtId="0" fontId="5" fillId="0" borderId="12" xfId="0" applyFont="1" applyBorder="1" applyAlignment="1">
      <alignment wrapText="1"/>
    </xf>
    <xf numFmtId="0" fontId="5" fillId="0" borderId="12" xfId="0" applyFont="1" applyBorder="1"/>
    <xf numFmtId="0" fontId="5" fillId="18" borderId="12" xfId="0" applyFont="1" applyFill="1" applyBorder="1" applyAlignment="1">
      <alignment wrapText="1"/>
    </xf>
    <xf numFmtId="1" fontId="9" fillId="12" borderId="12" xfId="0" applyNumberFormat="1" applyFont="1" applyFill="1" applyBorder="1" applyAlignment="1" applyProtection="1">
      <alignment vertical="center" wrapText="1"/>
      <protection locked="0"/>
    </xf>
    <xf numFmtId="2" fontId="9" fillId="12" borderId="12" xfId="0" applyNumberFormat="1" applyFont="1" applyFill="1" applyBorder="1" applyAlignment="1" applyProtection="1">
      <alignment vertical="center" wrapText="1"/>
      <protection locked="0"/>
    </xf>
    <xf numFmtId="168" fontId="9" fillId="12" borderId="12" xfId="0" applyNumberFormat="1" applyFont="1" applyFill="1" applyBorder="1" applyAlignment="1" applyProtection="1">
      <alignment vertical="center" wrapText="1"/>
      <protection locked="0"/>
    </xf>
    <xf numFmtId="166" fontId="9" fillId="12" borderId="12" xfId="0" applyNumberFormat="1" applyFont="1" applyFill="1" applyBorder="1" applyAlignment="1" applyProtection="1">
      <alignment vertical="center" wrapText="1"/>
      <protection locked="0"/>
    </xf>
    <xf numFmtId="165" fontId="9" fillId="12" borderId="12" xfId="0" applyNumberFormat="1" applyFont="1" applyFill="1" applyBorder="1" applyAlignment="1" applyProtection="1">
      <alignment vertical="center" wrapText="1"/>
      <protection locked="0"/>
    </xf>
    <xf numFmtId="0" fontId="9" fillId="0" borderId="12" xfId="0" applyFont="1" applyBorder="1" applyAlignment="1">
      <alignment wrapText="1"/>
    </xf>
    <xf numFmtId="0" fontId="0" fillId="18" borderId="12" xfId="0" applyFill="1" applyBorder="1"/>
    <xf numFmtId="1" fontId="9" fillId="2" borderId="12" xfId="0" applyNumberFormat="1" applyFont="1" applyFill="1" applyBorder="1" applyAlignment="1">
      <alignment vertical="center" wrapText="1"/>
    </xf>
    <xf numFmtId="2" fontId="9" fillId="2" borderId="12" xfId="0" applyNumberFormat="1" applyFont="1" applyFill="1" applyBorder="1" applyAlignment="1">
      <alignment vertical="center" wrapText="1"/>
    </xf>
    <xf numFmtId="168" fontId="9" fillId="2" borderId="12" xfId="0" applyNumberFormat="1" applyFont="1" applyFill="1" applyBorder="1" applyAlignment="1">
      <alignment vertical="center" wrapText="1"/>
    </xf>
    <xf numFmtId="165" fontId="9" fillId="2" borderId="12" xfId="0" applyNumberFormat="1" applyFont="1" applyFill="1" applyBorder="1" applyAlignment="1">
      <alignment vertical="center" wrapText="1"/>
    </xf>
    <xf numFmtId="164" fontId="9" fillId="2" borderId="12" xfId="0" applyNumberFormat="1" applyFont="1" applyFill="1" applyBorder="1" applyAlignment="1">
      <alignment vertical="center" wrapText="1"/>
    </xf>
    <xf numFmtId="167" fontId="9" fillId="2" borderId="12" xfId="0" applyNumberFormat="1" applyFont="1" applyFill="1" applyBorder="1" applyAlignment="1">
      <alignment vertical="center" wrapText="1"/>
    </xf>
    <xf numFmtId="2" fontId="9" fillId="2" borderId="12" xfId="0" applyNumberFormat="1" applyFont="1" applyFill="1" applyBorder="1" applyAlignment="1">
      <alignment horizontal="right" vertical="center" wrapText="1"/>
    </xf>
    <xf numFmtId="0" fontId="5" fillId="0" borderId="12" xfId="0" applyFont="1" applyBorder="1" applyAlignment="1">
      <alignment vertical="center" wrapText="1"/>
    </xf>
    <xf numFmtId="0" fontId="21" fillId="0" borderId="12" xfId="0" applyFont="1" applyBorder="1"/>
    <xf numFmtId="0" fontId="0" fillId="2" borderId="12" xfId="0" applyFill="1" applyBorder="1"/>
    <xf numFmtId="0" fontId="0" fillId="19" borderId="12" xfId="0" applyFill="1" applyBorder="1"/>
    <xf numFmtId="0" fontId="3" fillId="2" borderId="0" xfId="0" applyFont="1" applyFill="1" applyAlignment="1">
      <alignment horizontal="center" vertical="center"/>
    </xf>
    <xf numFmtId="0" fontId="14" fillId="18" borderId="0" xfId="0" applyFont="1" applyFill="1" applyAlignment="1">
      <alignment wrapText="1"/>
    </xf>
    <xf numFmtId="0" fontId="13" fillId="0" borderId="17" xfId="0" applyFont="1" applyBorder="1" applyAlignment="1">
      <alignment wrapText="1"/>
    </xf>
    <xf numFmtId="0" fontId="5" fillId="3" borderId="13" xfId="0" applyFont="1" applyFill="1" applyBorder="1" applyAlignment="1">
      <alignment vertical="center" wrapText="1"/>
    </xf>
    <xf numFmtId="0" fontId="5" fillId="7" borderId="13" xfId="0" applyFont="1" applyFill="1" applyBorder="1" applyAlignment="1">
      <alignment vertical="center" wrapText="1"/>
    </xf>
    <xf numFmtId="0" fontId="14" fillId="20" borderId="0" xfId="0" applyFont="1" applyFill="1" applyAlignment="1">
      <alignment wrapText="1"/>
    </xf>
    <xf numFmtId="0" fontId="14" fillId="7" borderId="0" xfId="0" applyFont="1" applyFill="1" applyAlignment="1">
      <alignment wrapText="1"/>
    </xf>
    <xf numFmtId="0" fontId="5" fillId="16" borderId="13" xfId="0" applyFont="1" applyFill="1" applyBorder="1" applyAlignment="1">
      <alignment vertical="center" wrapText="1"/>
    </xf>
    <xf numFmtId="0" fontId="14" fillId="16" borderId="0" xfId="0" applyFont="1" applyFill="1" applyAlignment="1">
      <alignment wrapText="1"/>
    </xf>
    <xf numFmtId="0" fontId="9" fillId="6" borderId="0" xfId="0" applyFont="1" applyFill="1"/>
    <xf numFmtId="0" fontId="5" fillId="6" borderId="13" xfId="0" applyFont="1" applyFill="1" applyBorder="1" applyAlignment="1">
      <alignment vertical="center" wrapText="1"/>
    </xf>
    <xf numFmtId="0" fontId="14" fillId="6" borderId="0" xfId="0" applyFont="1" applyFill="1" applyAlignment="1">
      <alignment wrapText="1"/>
    </xf>
    <xf numFmtId="0" fontId="5" fillId="6" borderId="0" xfId="0" applyFont="1" applyFill="1" applyAlignment="1">
      <alignment wrapText="1"/>
    </xf>
    <xf numFmtId="0" fontId="2" fillId="6" borderId="0" xfId="0" applyFont="1" applyFill="1" applyAlignment="1">
      <alignment wrapText="1"/>
    </xf>
    <xf numFmtId="0" fontId="14" fillId="2" borderId="0" xfId="0" applyFont="1" applyFill="1" applyAlignment="1">
      <alignment wrapText="1"/>
    </xf>
    <xf numFmtId="2" fontId="9" fillId="2" borderId="0" xfId="0" applyNumberFormat="1" applyFont="1" applyFill="1"/>
    <xf numFmtId="0" fontId="5" fillId="2" borderId="0" xfId="0" applyFont="1" applyFill="1" applyAlignment="1">
      <alignment vertical="center" wrapText="1"/>
    </xf>
    <xf numFmtId="2" fontId="5" fillId="2" borderId="0" xfId="0" applyNumberFormat="1" applyFont="1" applyFill="1"/>
    <xf numFmtId="2" fontId="5" fillId="2" borderId="0" xfId="0" applyNumberFormat="1" applyFont="1" applyFill="1" applyProtection="1">
      <protection locked="0"/>
    </xf>
    <xf numFmtId="0" fontId="2" fillId="2" borderId="12" xfId="0" applyFont="1" applyFill="1" applyBorder="1"/>
    <xf numFmtId="0" fontId="0" fillId="2" borderId="0" xfId="0" applyFill="1" applyAlignment="1">
      <alignment vertical="center"/>
    </xf>
    <xf numFmtId="2" fontId="0" fillId="2" borderId="12" xfId="0" applyNumberFormat="1" applyFill="1" applyBorder="1" applyProtection="1">
      <protection hidden="1"/>
    </xf>
    <xf numFmtId="2" fontId="14" fillId="2" borderId="12" xfId="0" applyNumberFormat="1" applyFont="1" applyFill="1" applyBorder="1" applyAlignment="1" applyProtection="1">
      <alignment wrapText="1"/>
      <protection hidden="1"/>
    </xf>
    <xf numFmtId="0" fontId="0" fillId="2" borderId="12" xfId="0" applyFill="1" applyBorder="1" applyProtection="1">
      <protection hidden="1"/>
    </xf>
    <xf numFmtId="2" fontId="9" fillId="2" borderId="0" xfId="0" applyNumberFormat="1" applyFont="1" applyFill="1" applyProtection="1">
      <protection hidden="1"/>
    </xf>
    <xf numFmtId="0" fontId="9" fillId="2" borderId="0" xfId="0" applyFont="1" applyFill="1" applyProtection="1">
      <protection hidden="1"/>
    </xf>
    <xf numFmtId="2" fontId="9" fillId="0" borderId="0" xfId="0" applyNumberFormat="1" applyFont="1" applyProtection="1">
      <protection hidden="1"/>
    </xf>
    <xf numFmtId="0" fontId="9" fillId="2" borderId="12" xfId="0" applyFont="1" applyFill="1" applyBorder="1" applyProtection="1">
      <protection hidden="1"/>
    </xf>
    <xf numFmtId="168" fontId="9" fillId="2" borderId="0" xfId="0" applyNumberFormat="1" applyFont="1" applyFill="1" applyProtection="1">
      <protection hidden="1"/>
    </xf>
    <xf numFmtId="165" fontId="9" fillId="2" borderId="0" xfId="0" applyNumberFormat="1" applyFont="1" applyFill="1" applyAlignment="1" applyProtection="1">
      <alignment horizontal="left"/>
      <protection hidden="1"/>
    </xf>
    <xf numFmtId="165" fontId="9" fillId="2" borderId="12" xfId="0" applyNumberFormat="1" applyFont="1" applyFill="1" applyBorder="1" applyAlignment="1" applyProtection="1">
      <alignment vertical="center" wrapText="1"/>
      <protection hidden="1"/>
    </xf>
    <xf numFmtId="167" fontId="9" fillId="2" borderId="12" xfId="0" applyNumberFormat="1" applyFont="1" applyFill="1" applyBorder="1" applyAlignment="1" applyProtection="1">
      <alignment vertical="center" wrapText="1"/>
      <protection hidden="1"/>
    </xf>
    <xf numFmtId="165" fontId="5" fillId="2" borderId="0" xfId="0" applyNumberFormat="1" applyFont="1" applyFill="1" applyAlignment="1" applyProtection="1">
      <alignment horizontal="left"/>
      <protection hidden="1"/>
    </xf>
    <xf numFmtId="0" fontId="0" fillId="15" borderId="0" xfId="0" applyFill="1" applyProtection="1">
      <protection hidden="1"/>
    </xf>
    <xf numFmtId="2" fontId="0" fillId="15" borderId="12" xfId="0" applyNumberFormat="1" applyFill="1" applyBorder="1" applyProtection="1">
      <protection hidden="1"/>
    </xf>
    <xf numFmtId="2" fontId="2" fillId="15" borderId="12" xfId="0" applyNumberFormat="1" applyFont="1" applyFill="1" applyBorder="1" applyProtection="1">
      <protection hidden="1"/>
    </xf>
    <xf numFmtId="2" fontId="0" fillId="13" borderId="12" xfId="0" applyNumberFormat="1" applyFill="1" applyBorder="1" applyProtection="1">
      <protection hidden="1"/>
    </xf>
    <xf numFmtId="2" fontId="0" fillId="0" borderId="0" xfId="0" applyNumberFormat="1" applyProtection="1">
      <protection hidden="1"/>
    </xf>
    <xf numFmtId="2" fontId="5" fillId="2" borderId="0" xfId="0" applyNumberFormat="1" applyFont="1" applyFill="1" applyAlignment="1" applyProtection="1">
      <alignment horizontal="left"/>
      <protection hidden="1"/>
    </xf>
    <xf numFmtId="169" fontId="9" fillId="2" borderId="0" xfId="1" applyNumberFormat="1" applyFont="1" applyFill="1" applyProtection="1">
      <protection hidden="1"/>
    </xf>
    <xf numFmtId="10" fontId="9" fillId="2" borderId="0" xfId="1" applyNumberFormat="1" applyFont="1" applyFill="1" applyProtection="1">
      <protection hidden="1"/>
    </xf>
    <xf numFmtId="10" fontId="0" fillId="2" borderId="0" xfId="1" applyNumberFormat="1" applyFont="1" applyFill="1" applyProtection="1">
      <protection hidden="1"/>
    </xf>
    <xf numFmtId="169" fontId="0" fillId="0" borderId="0" xfId="1" applyNumberFormat="1" applyFont="1" applyProtection="1">
      <protection hidden="1"/>
    </xf>
    <xf numFmtId="10" fontId="0" fillId="0" borderId="0" xfId="1" applyNumberFormat="1" applyFont="1" applyProtection="1">
      <protection hidden="1"/>
    </xf>
    <xf numFmtId="12" fontId="0" fillId="0" borderId="0" xfId="0" applyNumberFormat="1"/>
    <xf numFmtId="10" fontId="9" fillId="2" borderId="12" xfId="1" applyNumberFormat="1" applyFont="1" applyFill="1" applyBorder="1" applyProtection="1">
      <protection hidden="1"/>
    </xf>
    <xf numFmtId="0" fontId="17" fillId="6" borderId="0" xfId="0" applyFont="1" applyFill="1" applyAlignment="1">
      <alignment wrapText="1"/>
    </xf>
    <xf numFmtId="0" fontId="17" fillId="7" borderId="0" xfId="0" applyFont="1" applyFill="1" applyAlignment="1">
      <alignment vertical="center" wrapText="1"/>
    </xf>
    <xf numFmtId="165" fontId="9" fillId="2" borderId="0" xfId="0" applyNumberFormat="1" applyFont="1" applyFill="1" applyProtection="1">
      <protection hidden="1"/>
    </xf>
    <xf numFmtId="0" fontId="22" fillId="13" borderId="12" xfId="0" applyFont="1" applyFill="1" applyBorder="1" applyAlignment="1">
      <alignment horizontal="center"/>
    </xf>
    <xf numFmtId="10" fontId="19" fillId="13" borderId="12" xfId="1" applyNumberFormat="1" applyFont="1" applyFill="1" applyBorder="1" applyAlignment="1" applyProtection="1">
      <alignment horizontal="center"/>
      <protection hidden="1"/>
    </xf>
    <xf numFmtId="169" fontId="19" fillId="13" borderId="12" xfId="1" applyNumberFormat="1" applyFont="1" applyFill="1" applyBorder="1" applyAlignment="1" applyProtection="1">
      <alignment horizontal="center"/>
      <protection hidden="1"/>
    </xf>
    <xf numFmtId="10" fontId="18" fillId="13" borderId="12" xfId="1" applyNumberFormat="1" applyFont="1" applyFill="1" applyBorder="1" applyAlignment="1" applyProtection="1">
      <alignment horizontal="center"/>
      <protection hidden="1"/>
    </xf>
    <xf numFmtId="169" fontId="18" fillId="13" borderId="12" xfId="1" applyNumberFormat="1" applyFont="1" applyFill="1" applyBorder="1" applyAlignment="1" applyProtection="1">
      <alignment horizontal="center"/>
      <protection hidden="1"/>
    </xf>
    <xf numFmtId="0" fontId="15" fillId="3" borderId="18" xfId="0" applyFont="1" applyFill="1" applyBorder="1" applyAlignment="1">
      <alignment vertical="center" wrapText="1"/>
    </xf>
    <xf numFmtId="10" fontId="19" fillId="13" borderId="18" xfId="1" applyNumberFormat="1" applyFont="1" applyFill="1" applyBorder="1" applyAlignment="1" applyProtection="1">
      <alignment horizontal="center"/>
      <protection hidden="1"/>
    </xf>
    <xf numFmtId="169" fontId="19" fillId="13" borderId="18" xfId="1" applyNumberFormat="1" applyFont="1" applyFill="1" applyBorder="1" applyAlignment="1" applyProtection="1">
      <alignment horizontal="center"/>
      <protection hidden="1"/>
    </xf>
    <xf numFmtId="0" fontId="7" fillId="2" borderId="12" xfId="0" applyFont="1" applyFill="1" applyBorder="1" applyAlignment="1">
      <alignment horizontal="center"/>
    </xf>
    <xf numFmtId="169" fontId="18" fillId="0" borderId="12" xfId="1" applyNumberFormat="1" applyFont="1" applyBorder="1" applyAlignment="1" applyProtection="1">
      <alignment horizontal="center"/>
      <protection hidden="1"/>
    </xf>
    <xf numFmtId="10" fontId="19" fillId="0" borderId="12" xfId="1" applyNumberFormat="1" applyFont="1" applyBorder="1" applyAlignment="1" applyProtection="1">
      <alignment horizontal="center"/>
      <protection hidden="1"/>
    </xf>
    <xf numFmtId="10" fontId="18" fillId="0" borderId="12" xfId="1" applyNumberFormat="1" applyFont="1" applyBorder="1" applyAlignment="1" applyProtection="1">
      <alignment horizontal="center"/>
      <protection hidden="1"/>
    </xf>
    <xf numFmtId="169" fontId="19" fillId="0" borderId="12" xfId="1" applyNumberFormat="1" applyFont="1" applyBorder="1" applyAlignment="1" applyProtection="1">
      <alignment horizontal="center"/>
      <protection hidden="1"/>
    </xf>
    <xf numFmtId="0" fontId="22" fillId="2" borderId="0" xfId="0" applyFont="1" applyFill="1" applyAlignment="1">
      <alignment horizontal="center"/>
    </xf>
    <xf numFmtId="0" fontId="0" fillId="2" borderId="9" xfId="0" applyFill="1" applyBorder="1" applyAlignment="1">
      <alignment horizontal="left" wrapText="1"/>
    </xf>
    <xf numFmtId="0" fontId="0" fillId="2" borderId="10" xfId="0" applyFill="1" applyBorder="1" applyAlignment="1">
      <alignment horizontal="left" wrapText="1"/>
    </xf>
    <xf numFmtId="0" fontId="0" fillId="2" borderId="11" xfId="0" applyFill="1" applyBorder="1" applyAlignment="1">
      <alignment horizontal="left" wrapText="1"/>
    </xf>
    <xf numFmtId="0" fontId="7" fillId="2" borderId="9" xfId="0" applyFont="1"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3" fillId="2" borderId="1" xfId="0" applyFont="1" applyFill="1" applyBorder="1" applyAlignment="1">
      <alignment horizontal="left" vertical="center" wrapText="1"/>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8" fillId="2" borderId="5" xfId="0" applyFont="1" applyFill="1" applyBorder="1" applyAlignment="1">
      <alignment horizontal="center" vertical="center" textRotation="180" wrapText="1"/>
    </xf>
    <xf numFmtId="0" fontId="8" fillId="2" borderId="5" xfId="0" applyFont="1" applyFill="1" applyBorder="1" applyAlignment="1">
      <alignment horizontal="center" vertical="center" textRotation="90" wrapText="1"/>
    </xf>
    <xf numFmtId="0" fontId="8" fillId="2" borderId="0" xfId="0" applyFont="1" applyFill="1" applyAlignment="1">
      <alignment horizontal="center" vertical="center" textRotation="90"/>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10" xfId="0" applyFont="1" applyFill="1" applyBorder="1" applyAlignment="1">
      <alignment horizontal="center" wrapText="1"/>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7" fillId="2" borderId="9" xfId="0" applyFont="1" applyFill="1" applyBorder="1" applyAlignment="1">
      <alignment horizontal="center" vertical="center" wrapText="1"/>
    </xf>
    <xf numFmtId="0" fontId="5" fillId="2" borderId="2" xfId="0" applyFont="1" applyFill="1" applyBorder="1" applyAlignment="1">
      <alignment horizontal="center"/>
    </xf>
    <xf numFmtId="0" fontId="5" fillId="2" borderId="10" xfId="0" applyFont="1" applyFill="1" applyBorder="1" applyAlignment="1">
      <alignment horizontal="center"/>
    </xf>
    <xf numFmtId="0" fontId="9" fillId="2" borderId="10" xfId="0" applyFont="1" applyFill="1" applyBorder="1" applyAlignment="1">
      <alignment horizontal="center"/>
    </xf>
    <xf numFmtId="0" fontId="5" fillId="2" borderId="0" xfId="0" applyFont="1" applyFill="1" applyAlignment="1">
      <alignment horizontal="right" wrapText="1"/>
    </xf>
    <xf numFmtId="0" fontId="9" fillId="2" borderId="2" xfId="0" applyFont="1" applyFill="1" applyBorder="1" applyAlignment="1">
      <alignment horizontal="center"/>
    </xf>
    <xf numFmtId="0" fontId="9" fillId="2" borderId="2" xfId="0" applyFont="1" applyFill="1" applyBorder="1" applyAlignment="1">
      <alignment horizontal="center" wrapText="1"/>
    </xf>
    <xf numFmtId="0" fontId="14" fillId="13" borderId="0" xfId="0" applyFont="1" applyFill="1" applyAlignment="1">
      <alignment horizontal="center" wrapText="1"/>
    </xf>
    <xf numFmtId="0" fontId="9" fillId="2" borderId="0" xfId="0" applyFont="1" applyFill="1" applyAlignment="1">
      <alignment horizontal="left" wrapText="1"/>
    </xf>
    <xf numFmtId="0" fontId="5" fillId="2" borderId="0" xfId="0" applyFont="1" applyFill="1" applyAlignment="1">
      <alignment horizontal="right"/>
    </xf>
    <xf numFmtId="0" fontId="5" fillId="2" borderId="0" xfId="0" applyFont="1" applyFill="1" applyAlignment="1">
      <alignment horizontal="center"/>
    </xf>
    <xf numFmtId="0" fontId="9" fillId="2" borderId="0" xfId="0" applyFont="1" applyFill="1" applyAlignment="1">
      <alignment horizontal="center"/>
    </xf>
    <xf numFmtId="0" fontId="6" fillId="2" borderId="0" xfId="0" applyFont="1" applyFill="1" applyAlignment="1">
      <alignment horizontal="center"/>
    </xf>
    <xf numFmtId="0" fontId="5" fillId="13" borderId="0" xfId="0" applyFont="1" applyFill="1" applyAlignment="1">
      <alignment horizontal="center"/>
    </xf>
    <xf numFmtId="0" fontId="2" fillId="15" borderId="0" xfId="0" applyFont="1" applyFill="1" applyAlignment="1">
      <alignment horizontal="center"/>
    </xf>
    <xf numFmtId="0" fontId="18" fillId="3" borderId="19" xfId="0" applyFont="1" applyFill="1" applyBorder="1" applyAlignment="1">
      <alignment horizontal="center" vertical="center" textRotation="90"/>
    </xf>
    <xf numFmtId="0" fontId="7" fillId="6" borderId="0" xfId="0" applyFont="1" applyFill="1" applyAlignment="1">
      <alignment horizontal="center" textRotation="90"/>
    </xf>
    <xf numFmtId="0" fontId="7" fillId="7" borderId="0" xfId="0" applyFont="1" applyFill="1" applyAlignment="1">
      <alignment horizontal="center" textRotation="90"/>
    </xf>
    <xf numFmtId="0" fontId="7" fillId="9" borderId="0" xfId="0" applyFont="1" applyFill="1" applyAlignment="1">
      <alignment horizontal="center" textRotation="90" wrapText="1"/>
    </xf>
    <xf numFmtId="0" fontId="0" fillId="13" borderId="12" xfId="0" applyFill="1" applyBorder="1" applyAlignment="1">
      <alignment horizontal="center"/>
    </xf>
    <xf numFmtId="0" fontId="0" fillId="2" borderId="0" xfId="0" applyFill="1" applyAlignment="1">
      <alignment horizontal="left" wrapText="1"/>
    </xf>
    <xf numFmtId="0" fontId="5" fillId="0" borderId="12" xfId="0" applyFont="1" applyBorder="1" applyAlignment="1">
      <alignment horizontal="center" vertical="center" wrapText="1"/>
    </xf>
    <xf numFmtId="0" fontId="5" fillId="3" borderId="18" xfId="0" applyFont="1" applyFill="1" applyBorder="1" applyAlignment="1">
      <alignment horizontal="center"/>
    </xf>
    <xf numFmtId="0" fontId="5" fillId="6" borderId="18" xfId="0" applyFont="1" applyFill="1" applyBorder="1" applyAlignment="1">
      <alignment horizontal="center"/>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5" fillId="16" borderId="12" xfId="0" applyFont="1" applyFill="1" applyBorder="1" applyAlignment="1">
      <alignment horizontal="center"/>
    </xf>
    <xf numFmtId="0" fontId="5" fillId="16" borderId="18" xfId="0" applyFont="1" applyFill="1" applyBorder="1" applyAlignment="1">
      <alignment horizontal="center"/>
    </xf>
    <xf numFmtId="0" fontId="5" fillId="3" borderId="12" xfId="0" applyFont="1" applyFill="1" applyBorder="1" applyAlignment="1">
      <alignment horizontal="center"/>
    </xf>
    <xf numFmtId="0" fontId="5" fillId="6" borderId="12" xfId="0" applyFont="1" applyFill="1" applyBorder="1" applyAlignment="1">
      <alignment horizontal="center"/>
    </xf>
    <xf numFmtId="0" fontId="5" fillId="7" borderId="12" xfId="0" applyFont="1" applyFill="1" applyBorder="1" applyAlignment="1">
      <alignment horizontal="center"/>
    </xf>
    <xf numFmtId="0" fontId="5" fillId="7" borderId="18" xfId="0" applyFont="1" applyFill="1" applyBorder="1" applyAlignment="1">
      <alignment horizontal="center"/>
    </xf>
    <xf numFmtId="0" fontId="5" fillId="17" borderId="12" xfId="0" applyFont="1" applyFill="1" applyBorder="1" applyAlignment="1">
      <alignment horizontal="center"/>
    </xf>
    <xf numFmtId="0" fontId="2" fillId="14" borderId="12" xfId="0" applyFont="1" applyFill="1" applyBorder="1" applyAlignment="1">
      <alignment horizontal="center" wrapText="1"/>
    </xf>
    <xf numFmtId="0" fontId="2" fillId="2" borderId="0" xfId="0" applyFont="1" applyFill="1" applyAlignment="1">
      <alignment horizontal="center" wrapText="1"/>
    </xf>
    <xf numFmtId="0" fontId="14" fillId="2" borderId="0" xfId="0" applyFont="1" applyFill="1" applyAlignment="1">
      <alignment horizontal="center" wrapText="1"/>
    </xf>
  </cellXfs>
  <cellStyles count="2">
    <cellStyle name="Normal" xfId="0" builtinId="0"/>
    <cellStyle name="Porcentaje" xfId="1" builtinId="5"/>
  </cellStyles>
  <dxfs count="28">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156082"/>
      <color rgb="FFFFFF99"/>
      <color rgb="FF83CEBD"/>
      <color rgb="FF9999FF"/>
      <color rgb="FF2DD394"/>
      <color rgb="FFDFF793"/>
      <color rgb="FFD8FCF5"/>
      <color rgb="FFC1FBF0"/>
      <color rgb="FF0DC5A2"/>
      <color rgb="FFFFE3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Metodos</a:t>
            </a:r>
            <a:r>
              <a:rPr lang="es-CO" b="1" baseline="0"/>
              <a:t> de Desempeño ambiental VS Criterios </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'Valoración de alternativas 1'!$B$57</c:f>
              <c:strCache>
                <c:ptCount val="1"/>
                <c:pt idx="0">
                  <c:v>Analisis de ciclo de vida (ACV)</c:v>
                </c:pt>
              </c:strCache>
            </c:strRef>
          </c:tx>
          <c:spPr>
            <a:ln w="28575" cap="rnd">
              <a:solidFill>
                <a:schemeClr val="accent1"/>
              </a:solidFill>
              <a:round/>
            </a:ln>
            <a:effectLst/>
          </c:spPr>
          <c:marker>
            <c:symbol val="none"/>
          </c:marker>
          <c:cat>
            <c:strRef>
              <c:extLst>
                <c:ext xmlns:c15="http://schemas.microsoft.com/office/drawing/2012/chart" uri="{02D57815-91ED-43cb-92C2-25804820EDAC}">
                  <c15:fullRef>
                    <c15:sqref>'Valoración de alternativas 1'!$C$55:$AD$56</c15:sqref>
                  </c15:fullRef>
                  <c15:levelRef>
                    <c15:sqref>'Valoración de alternativas 1'!$C$55:$AD$55</c15:sqref>
                  </c15:levelRef>
                </c:ext>
              </c:extLst>
              <c:f>'Valoración de alternativas 1'!$C$55:$AD$55</c:f>
              <c:strCache>
                <c:ptCount val="28"/>
                <c:pt idx="0">
                  <c:v>Cambio climático</c:v>
                </c:pt>
                <c:pt idx="1">
                  <c:v>Uso de Agua</c:v>
                </c:pt>
                <c:pt idx="2">
                  <c:v>Agotamiento de la capa de ozono</c:v>
                </c:pt>
                <c:pt idx="3">
                  <c:v>Toxicidad
humana,
efectos
cancerígenos</c:v>
                </c:pt>
                <c:pt idx="4">
                  <c:v>Toxicidad
humana,
efectos no
cancerígenos</c:v>
                </c:pt>
                <c:pt idx="5">
                  <c:v>Partículas</c:v>
                </c:pt>
                <c:pt idx="6">
                  <c:v>Radiaciones ionizantes, salud humana</c:v>
                </c:pt>
                <c:pt idx="7">
                  <c:v>Formación fotoquímica de ozono, salud humana</c:v>
                </c:pt>
                <c:pt idx="8">
                  <c:v>Acidificación</c:v>
                </c:pt>
                <c:pt idx="9">
                  <c:v>Eutrofización,
terrestre</c:v>
                </c:pt>
                <c:pt idx="10">
                  <c:v>Eutrofización,
agua dulce</c:v>
                </c:pt>
                <c:pt idx="11">
                  <c:v>Eutrofización,
marina</c:v>
                </c:pt>
                <c:pt idx="12">
                  <c:v>Ecotoxicidad,
agua dulce</c:v>
                </c:pt>
                <c:pt idx="13">
                  <c:v>Uso de la
tierra</c:v>
                </c:pt>
                <c:pt idx="14">
                  <c:v>Uso de los recursos, minerales y metales</c:v>
                </c:pt>
                <c:pt idx="15">
                  <c:v>Uso de los
recursos  fósiles</c:v>
                </c:pt>
                <c:pt idx="16">
                  <c:v>Sector </c:v>
                </c:pt>
                <c:pt idx="17">
                  <c:v>Disponibilidad de datos ambientales</c:v>
                </c:pt>
                <c:pt idx="18">
                  <c:v>Aplicabilidad en la fase de diseño de producto (TRL)</c:v>
                </c:pt>
                <c:pt idx="19">
                  <c:v>Precisión </c:v>
                </c:pt>
                <c:pt idx="20">
                  <c:v>Relevancia en impactos</c:v>
                </c:pt>
                <c:pt idx="21">
                  <c:v>Facilidad de uso </c:v>
                </c:pt>
                <c:pt idx="22">
                  <c:v>Costo</c:v>
                </c:pt>
                <c:pt idx="23">
                  <c:v>Alcance</c:v>
                </c:pt>
                <c:pt idx="24">
                  <c:v>Tiempo </c:v>
                </c:pt>
                <c:pt idx="25">
                  <c:v>Aplicación colombiana</c:v>
                </c:pt>
                <c:pt idx="26">
                  <c:v>Compatibilidad con normas y regulaciones</c:v>
                </c:pt>
                <c:pt idx="27">
                  <c:v>Complejidad</c:v>
                </c:pt>
              </c:strCache>
            </c:strRef>
          </c:cat>
          <c:val>
            <c:numRef>
              <c:f>'Valoración de alternativas 1'!$C$57:$AD$57</c:f>
              <c:numCache>
                <c:formatCode>0.000</c:formatCode>
                <c:ptCount val="28"/>
                <c:pt idx="0">
                  <c:v>1</c:v>
                </c:pt>
                <c:pt idx="1">
                  <c:v>1</c:v>
                </c:pt>
                <c:pt idx="2">
                  <c:v>1</c:v>
                </c:pt>
                <c:pt idx="3" formatCode="0.00000">
                  <c:v>0</c:v>
                </c:pt>
                <c:pt idx="4" formatCode="0.00000">
                  <c:v>1</c:v>
                </c:pt>
                <c:pt idx="5" formatCode="0.00000">
                  <c:v>0.33333333333333331</c:v>
                </c:pt>
                <c:pt idx="6" formatCode="0.00000">
                  <c:v>0.33333333333333331</c:v>
                </c:pt>
                <c:pt idx="7" formatCode="0.00000">
                  <c:v>0.19999999999999973</c:v>
                </c:pt>
                <c:pt idx="8" formatCode="0.00000">
                  <c:v>0.3333333333333332</c:v>
                </c:pt>
                <c:pt idx="9" formatCode="0.00000">
                  <c:v>0.33333333333333365</c:v>
                </c:pt>
                <c:pt idx="10" formatCode="0.00000">
                  <c:v>0.33333333333333365</c:v>
                </c:pt>
                <c:pt idx="11" formatCode="0.00000">
                  <c:v>0.24999999999999964</c:v>
                </c:pt>
                <c:pt idx="12" formatCode="0.00000">
                  <c:v>0.33333333333333365</c:v>
                </c:pt>
                <c:pt idx="13" formatCode="0.00000">
                  <c:v>0.3333333333333332</c:v>
                </c:pt>
                <c:pt idx="14" formatCode="0.00000">
                  <c:v>0.33333333333333365</c:v>
                </c:pt>
                <c:pt idx="15" formatCode="0.00000">
                  <c:v>0.33333333333333331</c:v>
                </c:pt>
                <c:pt idx="16" formatCode="0.00000">
                  <c:v>1</c:v>
                </c:pt>
                <c:pt idx="17" formatCode="0.00000">
                  <c:v>1</c:v>
                </c:pt>
                <c:pt idx="18" formatCode="0.00000">
                  <c:v>0</c:v>
                </c:pt>
                <c:pt idx="19" formatCode="0.00000">
                  <c:v>0</c:v>
                </c:pt>
                <c:pt idx="20" formatCode="0.00000">
                  <c:v>0.5</c:v>
                </c:pt>
                <c:pt idx="21" formatCode="0.00000">
                  <c:v>1</c:v>
                </c:pt>
                <c:pt idx="22" formatCode="0.00000">
                  <c:v>0.66666666666666663</c:v>
                </c:pt>
                <c:pt idx="23" formatCode="0.00000">
                  <c:v>1</c:v>
                </c:pt>
                <c:pt idx="24" formatCode="0.00000">
                  <c:v>0.66666666666666663</c:v>
                </c:pt>
                <c:pt idx="25" formatCode="0.00000">
                  <c:v>1</c:v>
                </c:pt>
                <c:pt idx="26" formatCode="0.00000">
                  <c:v>1</c:v>
                </c:pt>
                <c:pt idx="27" formatCode="0.00000">
                  <c:v>1</c:v>
                </c:pt>
              </c:numCache>
            </c:numRef>
          </c:val>
          <c:smooth val="0"/>
          <c:extLst>
            <c:ext xmlns:c16="http://schemas.microsoft.com/office/drawing/2014/chart" uri="{C3380CC4-5D6E-409C-BE32-E72D297353CC}">
              <c16:uniqueId val="{00000000-698E-4777-B1C9-DA1DE1BD240B}"/>
            </c:ext>
          </c:extLst>
        </c:ser>
        <c:ser>
          <c:idx val="1"/>
          <c:order val="1"/>
          <c:tx>
            <c:strRef>
              <c:f>'Valoración de alternativas 1'!$B$58</c:f>
              <c:strCache>
                <c:ptCount val="1"/>
                <c:pt idx="0">
                  <c:v>Índice de desempeño (EPI)</c:v>
                </c:pt>
              </c:strCache>
            </c:strRef>
          </c:tx>
          <c:spPr>
            <a:ln w="28575" cap="rnd">
              <a:solidFill>
                <a:schemeClr val="accent2"/>
              </a:solidFill>
              <a:round/>
            </a:ln>
            <a:effectLst/>
          </c:spPr>
          <c:marker>
            <c:symbol val="none"/>
          </c:marker>
          <c:cat>
            <c:strRef>
              <c:extLst>
                <c:ext xmlns:c15="http://schemas.microsoft.com/office/drawing/2012/chart" uri="{02D57815-91ED-43cb-92C2-25804820EDAC}">
                  <c15:fullRef>
                    <c15:sqref>'Valoración de alternativas 1'!$C$55:$AD$56</c15:sqref>
                  </c15:fullRef>
                  <c15:levelRef>
                    <c15:sqref>'Valoración de alternativas 1'!$C$55:$AD$55</c15:sqref>
                  </c15:levelRef>
                </c:ext>
              </c:extLst>
              <c:f>'Valoración de alternativas 1'!$C$55:$AD$55</c:f>
              <c:strCache>
                <c:ptCount val="28"/>
                <c:pt idx="0">
                  <c:v>Cambio climático</c:v>
                </c:pt>
                <c:pt idx="1">
                  <c:v>Uso de Agua</c:v>
                </c:pt>
                <c:pt idx="2">
                  <c:v>Agotamiento de la capa de ozono</c:v>
                </c:pt>
                <c:pt idx="3">
                  <c:v>Toxicidad
humana,
efectos
cancerígenos</c:v>
                </c:pt>
                <c:pt idx="4">
                  <c:v>Toxicidad
humana,
efectos no
cancerígenos</c:v>
                </c:pt>
                <c:pt idx="5">
                  <c:v>Partículas</c:v>
                </c:pt>
                <c:pt idx="6">
                  <c:v>Radiaciones ionizantes, salud humana</c:v>
                </c:pt>
                <c:pt idx="7">
                  <c:v>Formación fotoquímica de ozono, salud humana</c:v>
                </c:pt>
                <c:pt idx="8">
                  <c:v>Acidificación</c:v>
                </c:pt>
                <c:pt idx="9">
                  <c:v>Eutrofización,
terrestre</c:v>
                </c:pt>
                <c:pt idx="10">
                  <c:v>Eutrofización,
agua dulce</c:v>
                </c:pt>
                <c:pt idx="11">
                  <c:v>Eutrofización,
marina</c:v>
                </c:pt>
                <c:pt idx="12">
                  <c:v>Ecotoxicidad,
agua dulce</c:v>
                </c:pt>
                <c:pt idx="13">
                  <c:v>Uso de la
tierra</c:v>
                </c:pt>
                <c:pt idx="14">
                  <c:v>Uso de los recursos, minerales y metales</c:v>
                </c:pt>
                <c:pt idx="15">
                  <c:v>Uso de los
recursos  fósiles</c:v>
                </c:pt>
                <c:pt idx="16">
                  <c:v>Sector </c:v>
                </c:pt>
                <c:pt idx="17">
                  <c:v>Disponibilidad de datos ambientales</c:v>
                </c:pt>
                <c:pt idx="18">
                  <c:v>Aplicabilidad en la fase de diseño de producto (TRL)</c:v>
                </c:pt>
                <c:pt idx="19">
                  <c:v>Precisión </c:v>
                </c:pt>
                <c:pt idx="20">
                  <c:v>Relevancia en impactos</c:v>
                </c:pt>
                <c:pt idx="21">
                  <c:v>Facilidad de uso </c:v>
                </c:pt>
                <c:pt idx="22">
                  <c:v>Costo</c:v>
                </c:pt>
                <c:pt idx="23">
                  <c:v>Alcance</c:v>
                </c:pt>
                <c:pt idx="24">
                  <c:v>Tiempo </c:v>
                </c:pt>
                <c:pt idx="25">
                  <c:v>Aplicación colombiana</c:v>
                </c:pt>
                <c:pt idx="26">
                  <c:v>Compatibilidad con normas y regulaciones</c:v>
                </c:pt>
                <c:pt idx="27">
                  <c:v>Complejidad</c:v>
                </c:pt>
              </c:strCache>
            </c:strRef>
          </c:cat>
          <c:val>
            <c:numRef>
              <c:f>'Valoración de alternativas 1'!$C$58:$AD$58</c:f>
              <c:numCache>
                <c:formatCode>0.000</c:formatCode>
                <c:ptCount val="28"/>
                <c:pt idx="0">
                  <c:v>0.33333333333333331</c:v>
                </c:pt>
                <c:pt idx="1">
                  <c:v>0.5</c:v>
                </c:pt>
                <c:pt idx="2">
                  <c:v>0.49999999999999989</c:v>
                </c:pt>
                <c:pt idx="3" formatCode="0.00000">
                  <c:v>0.66666666666666663</c:v>
                </c:pt>
                <c:pt idx="4" formatCode="0.00000">
                  <c:v>0.25000000000000011</c:v>
                </c:pt>
                <c:pt idx="5" formatCode="0.00000">
                  <c:v>0.66666666666666663</c:v>
                </c:pt>
                <c:pt idx="6" formatCode="0.00000">
                  <c:v>0.66666666666666663</c:v>
                </c:pt>
                <c:pt idx="7" formatCode="0.00000">
                  <c:v>0.60000000000000009</c:v>
                </c:pt>
                <c:pt idx="8" formatCode="0.00000">
                  <c:v>0.66666666666666685</c:v>
                </c:pt>
                <c:pt idx="9" formatCode="0.00000">
                  <c:v>0.6666666666666673</c:v>
                </c:pt>
                <c:pt idx="10" formatCode="0.00000">
                  <c:v>0.66666666666666641</c:v>
                </c:pt>
                <c:pt idx="11" formatCode="0.00000">
                  <c:v>0.75000000000000033</c:v>
                </c:pt>
                <c:pt idx="12" formatCode="0.00000">
                  <c:v>0.66666666666666685</c:v>
                </c:pt>
                <c:pt idx="13" formatCode="0.00000">
                  <c:v>0.66666666666666641</c:v>
                </c:pt>
                <c:pt idx="14" formatCode="0.00000">
                  <c:v>0.66666666666666641</c:v>
                </c:pt>
                <c:pt idx="15" formatCode="0.00000">
                  <c:v>0.66666666666666663</c:v>
                </c:pt>
                <c:pt idx="16" formatCode="0.00000">
                  <c:v>0</c:v>
                </c:pt>
                <c:pt idx="17" formatCode="0.00000">
                  <c:v>0.33333333333333331</c:v>
                </c:pt>
                <c:pt idx="18" formatCode="0.00000">
                  <c:v>1</c:v>
                </c:pt>
                <c:pt idx="19" formatCode="0.00000">
                  <c:v>1</c:v>
                </c:pt>
                <c:pt idx="20" formatCode="0.00000">
                  <c:v>1</c:v>
                </c:pt>
                <c:pt idx="21" formatCode="0.00000">
                  <c:v>0</c:v>
                </c:pt>
                <c:pt idx="22" formatCode="0.00000">
                  <c:v>0.33333333333333331</c:v>
                </c:pt>
                <c:pt idx="23" formatCode="0.00000">
                  <c:v>1</c:v>
                </c:pt>
                <c:pt idx="24" formatCode="0.00000">
                  <c:v>0.33333333333333331</c:v>
                </c:pt>
                <c:pt idx="25" formatCode="0.00000">
                  <c:v>0</c:v>
                </c:pt>
                <c:pt idx="26" formatCode="0.00000">
                  <c:v>0</c:v>
                </c:pt>
                <c:pt idx="27" formatCode="0.00000">
                  <c:v>0.5</c:v>
                </c:pt>
              </c:numCache>
            </c:numRef>
          </c:val>
          <c:smooth val="0"/>
          <c:extLst>
            <c:ext xmlns:c16="http://schemas.microsoft.com/office/drawing/2014/chart" uri="{C3380CC4-5D6E-409C-BE32-E72D297353CC}">
              <c16:uniqueId val="{00000001-698E-4777-B1C9-DA1DE1BD240B}"/>
            </c:ext>
          </c:extLst>
        </c:ser>
        <c:ser>
          <c:idx val="2"/>
          <c:order val="2"/>
          <c:tx>
            <c:strRef>
              <c:f>'Valoración de alternativas 1'!$B$59</c:f>
              <c:strCache>
                <c:ptCount val="1"/>
                <c:pt idx="0">
                  <c:v>Evaluación de impacto ambiental (EIA)</c:v>
                </c:pt>
              </c:strCache>
            </c:strRef>
          </c:tx>
          <c:spPr>
            <a:ln w="28575" cap="rnd">
              <a:solidFill>
                <a:schemeClr val="accent3"/>
              </a:solidFill>
              <a:round/>
            </a:ln>
            <a:effectLst/>
          </c:spPr>
          <c:marker>
            <c:symbol val="none"/>
          </c:marker>
          <c:cat>
            <c:strRef>
              <c:extLst>
                <c:ext xmlns:c15="http://schemas.microsoft.com/office/drawing/2012/chart" uri="{02D57815-91ED-43cb-92C2-25804820EDAC}">
                  <c15:fullRef>
                    <c15:sqref>'Valoración de alternativas 1'!$C$55:$AD$56</c15:sqref>
                  </c15:fullRef>
                  <c15:levelRef>
                    <c15:sqref>'Valoración de alternativas 1'!$C$55:$AD$55</c15:sqref>
                  </c15:levelRef>
                </c:ext>
              </c:extLst>
              <c:f>'Valoración de alternativas 1'!$C$55:$AD$55</c:f>
              <c:strCache>
                <c:ptCount val="28"/>
                <c:pt idx="0">
                  <c:v>Cambio climático</c:v>
                </c:pt>
                <c:pt idx="1">
                  <c:v>Uso de Agua</c:v>
                </c:pt>
                <c:pt idx="2">
                  <c:v>Agotamiento de la capa de ozono</c:v>
                </c:pt>
                <c:pt idx="3">
                  <c:v>Toxicidad
humana,
efectos
cancerígenos</c:v>
                </c:pt>
                <c:pt idx="4">
                  <c:v>Toxicidad
humana,
efectos no
cancerígenos</c:v>
                </c:pt>
                <c:pt idx="5">
                  <c:v>Partículas</c:v>
                </c:pt>
                <c:pt idx="6">
                  <c:v>Radiaciones ionizantes, salud humana</c:v>
                </c:pt>
                <c:pt idx="7">
                  <c:v>Formación fotoquímica de ozono, salud humana</c:v>
                </c:pt>
                <c:pt idx="8">
                  <c:v>Acidificación</c:v>
                </c:pt>
                <c:pt idx="9">
                  <c:v>Eutrofización,
terrestre</c:v>
                </c:pt>
                <c:pt idx="10">
                  <c:v>Eutrofización,
agua dulce</c:v>
                </c:pt>
                <c:pt idx="11">
                  <c:v>Eutrofización,
marina</c:v>
                </c:pt>
                <c:pt idx="12">
                  <c:v>Ecotoxicidad,
agua dulce</c:v>
                </c:pt>
                <c:pt idx="13">
                  <c:v>Uso de la
tierra</c:v>
                </c:pt>
                <c:pt idx="14">
                  <c:v>Uso de los recursos, minerales y metales</c:v>
                </c:pt>
                <c:pt idx="15">
                  <c:v>Uso de los
recursos  fósiles</c:v>
                </c:pt>
                <c:pt idx="16">
                  <c:v>Sector </c:v>
                </c:pt>
                <c:pt idx="17">
                  <c:v>Disponibilidad de datos ambientales</c:v>
                </c:pt>
                <c:pt idx="18">
                  <c:v>Aplicabilidad en la fase de diseño de producto (TRL)</c:v>
                </c:pt>
                <c:pt idx="19">
                  <c:v>Precisión </c:v>
                </c:pt>
                <c:pt idx="20">
                  <c:v>Relevancia en impactos</c:v>
                </c:pt>
                <c:pt idx="21">
                  <c:v>Facilidad de uso </c:v>
                </c:pt>
                <c:pt idx="22">
                  <c:v>Costo</c:v>
                </c:pt>
                <c:pt idx="23">
                  <c:v>Alcance</c:v>
                </c:pt>
                <c:pt idx="24">
                  <c:v>Tiempo </c:v>
                </c:pt>
                <c:pt idx="25">
                  <c:v>Aplicación colombiana</c:v>
                </c:pt>
                <c:pt idx="26">
                  <c:v>Compatibilidad con normas y regulaciones</c:v>
                </c:pt>
                <c:pt idx="27">
                  <c:v>Complejidad</c:v>
                </c:pt>
              </c:strCache>
            </c:strRef>
          </c:cat>
          <c:val>
            <c:numRef>
              <c:f>'Valoración de alternativas 1'!$C$59:$AD$59</c:f>
              <c:numCache>
                <c:formatCode>0.000</c:formatCode>
                <c:ptCount val="28"/>
                <c:pt idx="0">
                  <c:v>0.66666666666666663</c:v>
                </c:pt>
                <c:pt idx="1">
                  <c:v>0.8</c:v>
                </c:pt>
                <c:pt idx="2">
                  <c:v>0.75000000000000011</c:v>
                </c:pt>
                <c:pt idx="3" formatCode="0.00000">
                  <c:v>1</c:v>
                </c:pt>
                <c:pt idx="4" formatCode="0.00000">
                  <c:v>0.50000000000000022</c:v>
                </c:pt>
                <c:pt idx="5" formatCode="0.00000">
                  <c:v>1</c:v>
                </c:pt>
                <c:pt idx="6" formatCode="0.00000">
                  <c:v>1</c:v>
                </c:pt>
                <c:pt idx="7" formatCode="0.00000">
                  <c:v>1</c:v>
                </c:pt>
                <c:pt idx="8" formatCode="0.00000">
                  <c:v>1</c:v>
                </c:pt>
                <c:pt idx="9" formatCode="0.00000">
                  <c:v>1</c:v>
                </c:pt>
                <c:pt idx="10" formatCode="0.00000">
                  <c:v>1</c:v>
                </c:pt>
                <c:pt idx="11" formatCode="0.00000">
                  <c:v>1</c:v>
                </c:pt>
                <c:pt idx="12" formatCode="0.00000">
                  <c:v>1</c:v>
                </c:pt>
                <c:pt idx="13" formatCode="0.00000">
                  <c:v>1</c:v>
                </c:pt>
                <c:pt idx="14" formatCode="0.00000">
                  <c:v>1</c:v>
                </c:pt>
                <c:pt idx="15" formatCode="0.00000">
                  <c:v>1</c:v>
                </c:pt>
                <c:pt idx="16" formatCode="0.00000">
                  <c:v>0.66666666666666663</c:v>
                </c:pt>
                <c:pt idx="17" formatCode="0.00000">
                  <c:v>0.33333333333333331</c:v>
                </c:pt>
                <c:pt idx="18" formatCode="0.00000">
                  <c:v>0.2</c:v>
                </c:pt>
                <c:pt idx="19" formatCode="0.00000">
                  <c:v>0</c:v>
                </c:pt>
                <c:pt idx="20" formatCode="0.00000">
                  <c:v>1</c:v>
                </c:pt>
                <c:pt idx="21" formatCode="0.00000">
                  <c:v>0.33333333333333331</c:v>
                </c:pt>
                <c:pt idx="22" formatCode="0.00000">
                  <c:v>0</c:v>
                </c:pt>
                <c:pt idx="23" formatCode="0.00000">
                  <c:v>0</c:v>
                </c:pt>
                <c:pt idx="24" formatCode="0.00000">
                  <c:v>0</c:v>
                </c:pt>
                <c:pt idx="25" formatCode="0.00000">
                  <c:v>0.66666666666666663</c:v>
                </c:pt>
                <c:pt idx="26" formatCode="0.00000">
                  <c:v>0.66666666666666663</c:v>
                </c:pt>
                <c:pt idx="27" formatCode="0.00000">
                  <c:v>0.5</c:v>
                </c:pt>
              </c:numCache>
            </c:numRef>
          </c:val>
          <c:smooth val="0"/>
          <c:extLst>
            <c:ext xmlns:c16="http://schemas.microsoft.com/office/drawing/2014/chart" uri="{C3380CC4-5D6E-409C-BE32-E72D297353CC}">
              <c16:uniqueId val="{00000002-698E-4777-B1C9-DA1DE1BD240B}"/>
            </c:ext>
          </c:extLst>
        </c:ser>
        <c:ser>
          <c:idx val="3"/>
          <c:order val="3"/>
          <c:tx>
            <c:strRef>
              <c:f>'Valoración de alternativas 1'!$B$60</c:f>
              <c:strCache>
                <c:ptCount val="1"/>
                <c:pt idx="0">
                  <c:v>Análisis de eficiencia ambiental</c:v>
                </c:pt>
              </c:strCache>
            </c:strRef>
          </c:tx>
          <c:spPr>
            <a:ln w="28575" cap="rnd">
              <a:solidFill>
                <a:schemeClr val="accent4"/>
              </a:solidFill>
              <a:round/>
            </a:ln>
            <a:effectLst/>
          </c:spPr>
          <c:marker>
            <c:symbol val="none"/>
          </c:marker>
          <c:cat>
            <c:strRef>
              <c:extLst>
                <c:ext xmlns:c15="http://schemas.microsoft.com/office/drawing/2012/chart" uri="{02D57815-91ED-43cb-92C2-25804820EDAC}">
                  <c15:fullRef>
                    <c15:sqref>'Valoración de alternativas 1'!$C$55:$AD$56</c15:sqref>
                  </c15:fullRef>
                  <c15:levelRef>
                    <c15:sqref>'Valoración de alternativas 1'!$C$55:$AD$55</c15:sqref>
                  </c15:levelRef>
                </c:ext>
              </c:extLst>
              <c:f>'Valoración de alternativas 1'!$C$55:$AD$55</c:f>
              <c:strCache>
                <c:ptCount val="28"/>
                <c:pt idx="0">
                  <c:v>Cambio climático</c:v>
                </c:pt>
                <c:pt idx="1">
                  <c:v>Uso de Agua</c:v>
                </c:pt>
                <c:pt idx="2">
                  <c:v>Agotamiento de la capa de ozono</c:v>
                </c:pt>
                <c:pt idx="3">
                  <c:v>Toxicidad
humana,
efectos
cancerígenos</c:v>
                </c:pt>
                <c:pt idx="4">
                  <c:v>Toxicidad
humana,
efectos no
cancerígenos</c:v>
                </c:pt>
                <c:pt idx="5">
                  <c:v>Partículas</c:v>
                </c:pt>
                <c:pt idx="6">
                  <c:v>Radiaciones ionizantes, salud humana</c:v>
                </c:pt>
                <c:pt idx="7">
                  <c:v>Formación fotoquímica de ozono, salud humana</c:v>
                </c:pt>
                <c:pt idx="8">
                  <c:v>Acidificación</c:v>
                </c:pt>
                <c:pt idx="9">
                  <c:v>Eutrofización,
terrestre</c:v>
                </c:pt>
                <c:pt idx="10">
                  <c:v>Eutrofización,
agua dulce</c:v>
                </c:pt>
                <c:pt idx="11">
                  <c:v>Eutrofización,
marina</c:v>
                </c:pt>
                <c:pt idx="12">
                  <c:v>Ecotoxicidad,
agua dulce</c:v>
                </c:pt>
                <c:pt idx="13">
                  <c:v>Uso de la
tierra</c:v>
                </c:pt>
                <c:pt idx="14">
                  <c:v>Uso de los recursos, minerales y metales</c:v>
                </c:pt>
                <c:pt idx="15">
                  <c:v>Uso de los
recursos  fósiles</c:v>
                </c:pt>
                <c:pt idx="16">
                  <c:v>Sector </c:v>
                </c:pt>
                <c:pt idx="17">
                  <c:v>Disponibilidad de datos ambientales</c:v>
                </c:pt>
                <c:pt idx="18">
                  <c:v>Aplicabilidad en la fase de diseño de producto (TRL)</c:v>
                </c:pt>
                <c:pt idx="19">
                  <c:v>Precisión </c:v>
                </c:pt>
                <c:pt idx="20">
                  <c:v>Relevancia en impactos</c:v>
                </c:pt>
                <c:pt idx="21">
                  <c:v>Facilidad de uso </c:v>
                </c:pt>
                <c:pt idx="22">
                  <c:v>Costo</c:v>
                </c:pt>
                <c:pt idx="23">
                  <c:v>Alcance</c:v>
                </c:pt>
                <c:pt idx="24">
                  <c:v>Tiempo </c:v>
                </c:pt>
                <c:pt idx="25">
                  <c:v>Aplicación colombiana</c:v>
                </c:pt>
                <c:pt idx="26">
                  <c:v>Compatibilidad con normas y regulaciones</c:v>
                </c:pt>
                <c:pt idx="27">
                  <c:v>Complejidad</c:v>
                </c:pt>
              </c:strCache>
            </c:strRef>
          </c:cat>
          <c:val>
            <c:numRef>
              <c:f>'Valoración de alternativas 1'!$C$60:$AD$60</c:f>
              <c:numCache>
                <c:formatCode>0.000</c:formatCode>
                <c:ptCount val="28"/>
                <c:pt idx="0">
                  <c:v>0</c:v>
                </c:pt>
                <c:pt idx="1">
                  <c:v>0</c:v>
                </c:pt>
                <c:pt idx="2">
                  <c:v>0</c:v>
                </c:pt>
                <c:pt idx="3" formatCode="0.00000">
                  <c:v>0.33333333333333331</c:v>
                </c:pt>
                <c:pt idx="4" formatCode="0.00000">
                  <c:v>0</c:v>
                </c:pt>
                <c:pt idx="5" formatCode="0.00000">
                  <c:v>0</c:v>
                </c:pt>
                <c:pt idx="6" formatCode="0.00000">
                  <c:v>0</c:v>
                </c:pt>
                <c:pt idx="7" formatCode="0.00000">
                  <c:v>0</c:v>
                </c:pt>
                <c:pt idx="8" formatCode="0.00000">
                  <c:v>0</c:v>
                </c:pt>
                <c:pt idx="9" formatCode="0.00000">
                  <c:v>0</c:v>
                </c:pt>
                <c:pt idx="10" formatCode="0.00000">
                  <c:v>0</c:v>
                </c:pt>
                <c:pt idx="11" formatCode="0.00000">
                  <c:v>0</c:v>
                </c:pt>
                <c:pt idx="12" formatCode="0.00000">
                  <c:v>0</c:v>
                </c:pt>
                <c:pt idx="13" formatCode="0.00000">
                  <c:v>0</c:v>
                </c:pt>
                <c:pt idx="14" formatCode="0.00000">
                  <c:v>0</c:v>
                </c:pt>
                <c:pt idx="15" formatCode="0.00000">
                  <c:v>0</c:v>
                </c:pt>
                <c:pt idx="16" formatCode="0.00000">
                  <c:v>0.33333333333333331</c:v>
                </c:pt>
                <c:pt idx="17" formatCode="0.00000">
                  <c:v>0</c:v>
                </c:pt>
                <c:pt idx="18" formatCode="0.00000">
                  <c:v>0.4</c:v>
                </c:pt>
                <c:pt idx="19" formatCode="0.00000">
                  <c:v>0</c:v>
                </c:pt>
                <c:pt idx="20" formatCode="0.00000">
                  <c:v>0</c:v>
                </c:pt>
                <c:pt idx="21" formatCode="0.00000">
                  <c:v>0.33333333333333331</c:v>
                </c:pt>
                <c:pt idx="22" formatCode="0.00000">
                  <c:v>1</c:v>
                </c:pt>
                <c:pt idx="23" formatCode="0.00000">
                  <c:v>0</c:v>
                </c:pt>
                <c:pt idx="24" formatCode="0.00000">
                  <c:v>1</c:v>
                </c:pt>
                <c:pt idx="25" formatCode="0.00000">
                  <c:v>0</c:v>
                </c:pt>
                <c:pt idx="26" formatCode="0.00000">
                  <c:v>0.66666666666666663</c:v>
                </c:pt>
                <c:pt idx="27" formatCode="0.00000">
                  <c:v>0</c:v>
                </c:pt>
              </c:numCache>
            </c:numRef>
          </c:val>
          <c:smooth val="0"/>
          <c:extLst>
            <c:ext xmlns:c16="http://schemas.microsoft.com/office/drawing/2014/chart" uri="{C3380CC4-5D6E-409C-BE32-E72D297353CC}">
              <c16:uniqueId val="{00000003-698E-4777-B1C9-DA1DE1BD240B}"/>
            </c:ext>
          </c:extLst>
        </c:ser>
        <c:ser>
          <c:idx val="4"/>
          <c:order val="4"/>
          <c:tx>
            <c:strRef>
              <c:f>'Valoración de alternativas 1'!$B$61</c:f>
              <c:strCache>
                <c:ptCount val="1"/>
                <c:pt idx="0">
                  <c:v>PAS 2050 (Huella de carbono)</c:v>
                </c:pt>
              </c:strCache>
            </c:strRef>
          </c:tx>
          <c:spPr>
            <a:ln w="28575" cap="rnd">
              <a:solidFill>
                <a:schemeClr val="accent5"/>
              </a:solidFill>
              <a:round/>
            </a:ln>
            <a:effectLst/>
          </c:spPr>
          <c:marker>
            <c:symbol val="none"/>
          </c:marker>
          <c:cat>
            <c:strRef>
              <c:extLst>
                <c:ext xmlns:c15="http://schemas.microsoft.com/office/drawing/2012/chart" uri="{02D57815-91ED-43cb-92C2-25804820EDAC}">
                  <c15:fullRef>
                    <c15:sqref>'Valoración de alternativas 1'!$C$55:$AD$56</c15:sqref>
                  </c15:fullRef>
                  <c15:levelRef>
                    <c15:sqref>'Valoración de alternativas 1'!$C$55:$AD$55</c15:sqref>
                  </c15:levelRef>
                </c:ext>
              </c:extLst>
              <c:f>'Valoración de alternativas 1'!$C$55:$AD$55</c:f>
              <c:strCache>
                <c:ptCount val="28"/>
                <c:pt idx="0">
                  <c:v>Cambio climático</c:v>
                </c:pt>
                <c:pt idx="1">
                  <c:v>Uso de Agua</c:v>
                </c:pt>
                <c:pt idx="2">
                  <c:v>Agotamiento de la capa de ozono</c:v>
                </c:pt>
                <c:pt idx="3">
                  <c:v>Toxicidad
humana,
efectos
cancerígenos</c:v>
                </c:pt>
                <c:pt idx="4">
                  <c:v>Toxicidad
humana,
efectos no
cancerígenos</c:v>
                </c:pt>
                <c:pt idx="5">
                  <c:v>Partículas</c:v>
                </c:pt>
                <c:pt idx="6">
                  <c:v>Radiaciones ionizantes, salud humana</c:v>
                </c:pt>
                <c:pt idx="7">
                  <c:v>Formación fotoquímica de ozono, salud humana</c:v>
                </c:pt>
                <c:pt idx="8">
                  <c:v>Acidificación</c:v>
                </c:pt>
                <c:pt idx="9">
                  <c:v>Eutrofización,
terrestre</c:v>
                </c:pt>
                <c:pt idx="10">
                  <c:v>Eutrofización,
agua dulce</c:v>
                </c:pt>
                <c:pt idx="11">
                  <c:v>Eutrofización,
marina</c:v>
                </c:pt>
                <c:pt idx="12">
                  <c:v>Ecotoxicidad,
agua dulce</c:v>
                </c:pt>
                <c:pt idx="13">
                  <c:v>Uso de la
tierra</c:v>
                </c:pt>
                <c:pt idx="14">
                  <c:v>Uso de los recursos, minerales y metales</c:v>
                </c:pt>
                <c:pt idx="15">
                  <c:v>Uso de los
recursos  fósiles</c:v>
                </c:pt>
                <c:pt idx="16">
                  <c:v>Sector </c:v>
                </c:pt>
                <c:pt idx="17">
                  <c:v>Disponibilidad de datos ambientales</c:v>
                </c:pt>
                <c:pt idx="18">
                  <c:v>Aplicabilidad en la fase de diseño de producto (TRL)</c:v>
                </c:pt>
                <c:pt idx="19">
                  <c:v>Precisión </c:v>
                </c:pt>
                <c:pt idx="20">
                  <c:v>Relevancia en impactos</c:v>
                </c:pt>
                <c:pt idx="21">
                  <c:v>Facilidad de uso </c:v>
                </c:pt>
                <c:pt idx="22">
                  <c:v>Costo</c:v>
                </c:pt>
                <c:pt idx="23">
                  <c:v>Alcance</c:v>
                </c:pt>
                <c:pt idx="24">
                  <c:v>Tiempo </c:v>
                </c:pt>
                <c:pt idx="25">
                  <c:v>Aplicación colombiana</c:v>
                </c:pt>
                <c:pt idx="26">
                  <c:v>Compatibilidad con normas y regulaciones</c:v>
                </c:pt>
                <c:pt idx="27">
                  <c:v>Complejidad</c:v>
                </c:pt>
              </c:strCache>
            </c:strRef>
          </c:cat>
          <c:val>
            <c:numRef>
              <c:f>'Valoración de alternativas 1'!$C$61:$AD$61</c:f>
              <c:numCache>
                <c:formatCode>0.000</c:formatCode>
                <c:ptCount val="28"/>
                <c:pt idx="0">
                  <c:v>0.46666666666666667</c:v>
                </c:pt>
                <c:pt idx="1">
                  <c:v>0.7</c:v>
                </c:pt>
                <c:pt idx="2">
                  <c:v>0.65</c:v>
                </c:pt>
                <c:pt idx="3" formatCode="0.00000">
                  <c:v>0.49999999999999961</c:v>
                </c:pt>
                <c:pt idx="4" formatCode="0.00000">
                  <c:v>0.12499999999999979</c:v>
                </c:pt>
                <c:pt idx="5" formatCode="0.00000">
                  <c:v>0.5</c:v>
                </c:pt>
                <c:pt idx="6" formatCode="0.00000">
                  <c:v>0.49999999999999994</c:v>
                </c:pt>
                <c:pt idx="7" formatCode="0.00000">
                  <c:v>0.39999999999999991</c:v>
                </c:pt>
                <c:pt idx="8" formatCode="0.00000">
                  <c:v>0.5</c:v>
                </c:pt>
                <c:pt idx="9" formatCode="0.00000">
                  <c:v>0.50000000000000044</c:v>
                </c:pt>
                <c:pt idx="10" formatCode="0.00000">
                  <c:v>0.83333333333333315</c:v>
                </c:pt>
                <c:pt idx="11" formatCode="0.00000">
                  <c:v>0.62500000000000022</c:v>
                </c:pt>
                <c:pt idx="12" formatCode="0.00000">
                  <c:v>0.5</c:v>
                </c:pt>
                <c:pt idx="13" formatCode="0.00000">
                  <c:v>0.5</c:v>
                </c:pt>
                <c:pt idx="14" formatCode="0.00000">
                  <c:v>0.74999999999999978</c:v>
                </c:pt>
                <c:pt idx="15" formatCode="0.00000">
                  <c:v>0.83333333333333337</c:v>
                </c:pt>
                <c:pt idx="16" formatCode="0.00000">
                  <c:v>0.33333333333333331</c:v>
                </c:pt>
                <c:pt idx="17" formatCode="0.00000">
                  <c:v>0</c:v>
                </c:pt>
                <c:pt idx="18" formatCode="0.00000">
                  <c:v>0.6</c:v>
                </c:pt>
                <c:pt idx="19" formatCode="0.00000">
                  <c:v>0</c:v>
                </c:pt>
                <c:pt idx="20" formatCode="0.00000">
                  <c:v>0</c:v>
                </c:pt>
                <c:pt idx="21" formatCode="0.00000">
                  <c:v>0.33333333333333331</c:v>
                </c:pt>
                <c:pt idx="22" formatCode="0.00000">
                  <c:v>0.16666666666666666</c:v>
                </c:pt>
                <c:pt idx="23" formatCode="0.00000">
                  <c:v>0</c:v>
                </c:pt>
                <c:pt idx="24" formatCode="0.00000">
                  <c:v>0.16666666666666666</c:v>
                </c:pt>
                <c:pt idx="25" formatCode="0.00000">
                  <c:v>0.33333333333333331</c:v>
                </c:pt>
                <c:pt idx="26" formatCode="0.00000">
                  <c:v>0.66666666666666663</c:v>
                </c:pt>
                <c:pt idx="27" formatCode="0.00000">
                  <c:v>0.5</c:v>
                </c:pt>
              </c:numCache>
            </c:numRef>
          </c:val>
          <c:smooth val="0"/>
          <c:extLst>
            <c:ext xmlns:c16="http://schemas.microsoft.com/office/drawing/2014/chart" uri="{C3380CC4-5D6E-409C-BE32-E72D297353CC}">
              <c16:uniqueId val="{00000004-698E-4777-B1C9-DA1DE1BD240B}"/>
            </c:ext>
          </c:extLst>
        </c:ser>
        <c:dLbls>
          <c:showLegendKey val="0"/>
          <c:showVal val="0"/>
          <c:showCatName val="0"/>
          <c:showSerName val="0"/>
          <c:showPercent val="0"/>
          <c:showBubbleSize val="0"/>
        </c:dLbls>
        <c:smooth val="0"/>
        <c:axId val="721090936"/>
        <c:axId val="721092376"/>
      </c:lineChart>
      <c:catAx>
        <c:axId val="721090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s-CO"/>
          </a:p>
        </c:txPr>
        <c:crossAx val="721092376"/>
        <c:crosses val="autoZero"/>
        <c:auto val="1"/>
        <c:lblAlgn val="ctr"/>
        <c:lblOffset val="100"/>
        <c:noMultiLvlLbl val="0"/>
      </c:catAx>
      <c:valAx>
        <c:axId val="721092376"/>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21090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tx>
        <cx:rich>
          <a:bodyPr spcFirstLastPara="1" vertOverflow="ellipsis" horzOverflow="overflow" wrap="square" lIns="0" tIns="0" rIns="0" bIns="0" anchor="ctr" anchorCtr="1"/>
          <a:lstStyle/>
          <a:p>
            <a:pPr algn="ctr" rtl="0">
              <a:defRPr b="1"/>
            </a:pPr>
            <a:r>
              <a:rPr lang="es-ES" sz="1400" b="1" i="0" u="none" strike="noStrike" baseline="0">
                <a:solidFill>
                  <a:sysClr val="windowText" lastClr="000000">
                    <a:lumMod val="65000"/>
                    <a:lumOff val="35000"/>
                  </a:sysClr>
                </a:solidFill>
                <a:latin typeface="Aptos Narrow" panose="02110004020202020204"/>
              </a:rPr>
              <a:t>Priorización de criterios para tener en cuenta en la evaluación </a:t>
            </a:r>
            <a:r>
              <a:rPr lang="es-CO"/>
              <a:t> desempeño ambiental</a:t>
            </a:r>
            <a:endParaRPr lang="es-ES" sz="1400" b="1" i="0" u="none" strike="noStrike" baseline="0">
              <a:solidFill>
                <a:sysClr val="windowText" lastClr="000000">
                  <a:lumMod val="65000"/>
                  <a:lumOff val="35000"/>
                </a:sysClr>
              </a:solidFill>
              <a:latin typeface="Aptos Narrow" panose="02110004020202020204"/>
            </a:endParaRPr>
          </a:p>
        </cx:rich>
      </cx:tx>
    </cx:title>
    <cx:plotArea>
      <cx:plotAreaRegion>
        <cx:series layoutId="treemap" uniqueId="{EB7C298A-6A9B-4B55-968F-E0414D159FC9}">
          <cx:dataPt idx="0">
            <cx:spPr>
              <a:solidFill>
                <a:srgbClr val="92D050"/>
              </a:solidFill>
            </cx:spPr>
          </cx:dataPt>
          <cx:dataPt idx="17">
            <cx:spPr>
              <a:solidFill>
                <a:srgbClr val="9999FF"/>
              </a:solidFill>
            </cx:spPr>
          </cx:dataPt>
          <cx:dataPt idx="21">
            <cx:spPr>
              <a:solidFill>
                <a:srgbClr val="FFC000"/>
              </a:solidFill>
            </cx:spPr>
          </cx:dataPt>
          <cx:dataPt idx="28">
            <cx:spPr>
              <a:solidFill>
                <a:srgbClr val="0DC5A2"/>
              </a:solidFill>
            </cx:spPr>
          </cx:dataPt>
          <cx:dataLabels pos="inEnd">
            <cx:txPr>
              <a:bodyPr spcFirstLastPara="1" vertOverflow="ellipsis" horzOverflow="overflow" wrap="square" lIns="0" tIns="0" rIns="0" bIns="0" anchor="ctr" anchorCtr="1"/>
              <a:lstStyle/>
              <a:p>
                <a:pPr algn="ctr" rtl="0">
                  <a:defRPr sz="900" b="1">
                    <a:solidFill>
                      <a:schemeClr val="tx1"/>
                    </a:solidFill>
                  </a:defRPr>
                </a:pPr>
                <a:endParaRPr lang="es-ES" sz="900" b="1" i="0" u="none" strike="noStrike" baseline="0">
                  <a:solidFill>
                    <a:schemeClr val="tx1"/>
                  </a:solidFill>
                  <a:latin typeface="Aptos Narrow" panose="02110004020202020204"/>
                </a:endParaRPr>
              </a:p>
            </cx:txPr>
            <cx:visibility seriesName="0" categoryName="1" value="0"/>
            <cx:dataLabel idx="0">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Impactos Ambientales Directos</a:t>
                  </a:r>
                </a:p>
              </cx:txPr>
            </cx:dataLabel>
            <cx:dataLabel idx="17">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Contexto Empresarial</a:t>
                  </a:r>
                </a:p>
              </cx:txPr>
            </cx:dataLabel>
            <cx:dataLabel idx="21">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Eficiencia y Efectividad</a:t>
                  </a:r>
                </a:p>
              </cx:txPr>
            </cx:dataLabel>
            <cx:dataLabel idx="28">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Normativa y Compatibilidad</a:t>
                  </a:r>
                </a:p>
              </cx:txPr>
            </cx:dataLabel>
          </cx:dataLabels>
          <cx:dataId val="0"/>
          <cx:layoutPr>
            <cx:parentLabelLayout val="overlapping"/>
          </cx:layoutPr>
        </cx:series>
      </cx:plotAreaRegion>
    </cx:plotArea>
    <cx:legend pos="t" align="ctr" overlay="0">
      <cx:txPr>
        <a:bodyPr spcFirstLastPara="1" vertOverflow="ellipsis" horzOverflow="overflow" wrap="square" lIns="0" tIns="0" rIns="0" bIns="0" anchor="ctr" anchorCtr="1"/>
        <a:lstStyle/>
        <a:p>
          <a:pPr algn="ctr" rtl="0">
            <a:defRPr/>
          </a:pPr>
          <a:endParaRPr lang="es-ES" sz="900" b="0" i="0" u="none" strike="noStrike" baseline="0">
            <a:solidFill>
              <a:sysClr val="windowText" lastClr="000000">
                <a:lumMod val="65000"/>
                <a:lumOff val="35000"/>
              </a:sysClr>
            </a:solidFill>
            <a:latin typeface="Aptos Narrow" panose="02110004020202020204"/>
          </a:endParaRPr>
        </a:p>
      </cx:txPr>
    </cx:legend>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size">
        <cx:f>_xlchart.v1.3</cx:f>
      </cx:numDim>
    </cx:data>
  </cx:chartData>
  <cx:chart>
    <cx:title pos="t" align="ctr" overlay="0">
      <cx:tx>
        <cx:rich>
          <a:bodyPr spcFirstLastPara="1" vertOverflow="ellipsis" horzOverflow="overflow" wrap="square" lIns="0" tIns="0" rIns="0" bIns="0" anchor="ctr" anchorCtr="1"/>
          <a:lstStyle/>
          <a:p>
            <a:pPr algn="ctr" rtl="0">
              <a:defRPr b="1"/>
            </a:pPr>
            <a:r>
              <a:rPr lang="es-ES" sz="1400" b="1" i="0" u="none" strike="noStrike" baseline="0">
                <a:solidFill>
                  <a:sysClr val="windowText" lastClr="000000">
                    <a:lumMod val="65000"/>
                    <a:lumOff val="35000"/>
                  </a:sysClr>
                </a:solidFill>
                <a:latin typeface="Aptos Narrow" panose="02110004020202020204"/>
              </a:rPr>
              <a:t>Priorización de criterios para tener en cuenta en la evaluación </a:t>
            </a:r>
            <a:r>
              <a:rPr lang="es-CO"/>
              <a:t> desempeño ambiental</a:t>
            </a:r>
            <a:endParaRPr lang="es-ES" sz="1400" b="1" i="0" u="none" strike="noStrike" baseline="0">
              <a:solidFill>
                <a:sysClr val="windowText" lastClr="000000">
                  <a:lumMod val="65000"/>
                  <a:lumOff val="35000"/>
                </a:sysClr>
              </a:solidFill>
              <a:latin typeface="Aptos Narrow" panose="02110004020202020204"/>
            </a:endParaRPr>
          </a:p>
        </cx:rich>
      </cx:tx>
    </cx:title>
    <cx:plotArea>
      <cx:plotAreaRegion>
        <cx:series layoutId="treemap" uniqueId="{EB7C298A-6A9B-4B55-968F-E0414D159FC9}">
          <cx:dataPt idx="0">
            <cx:spPr>
              <a:solidFill>
                <a:srgbClr val="92D050"/>
              </a:solidFill>
            </cx:spPr>
          </cx:dataPt>
          <cx:dataPt idx="17">
            <cx:spPr>
              <a:solidFill>
                <a:srgbClr val="9999FF"/>
              </a:solidFill>
            </cx:spPr>
          </cx:dataPt>
          <cx:dataPt idx="21">
            <cx:spPr>
              <a:solidFill>
                <a:srgbClr val="FFC000"/>
              </a:solidFill>
            </cx:spPr>
          </cx:dataPt>
          <cx:dataPt idx="28">
            <cx:spPr>
              <a:solidFill>
                <a:srgbClr val="0DC5A2"/>
              </a:solidFill>
            </cx:spPr>
          </cx:dataPt>
          <cx:dataLabels pos="inEnd">
            <cx:txPr>
              <a:bodyPr spcFirstLastPara="1" vertOverflow="ellipsis" horzOverflow="overflow" wrap="square" lIns="0" tIns="0" rIns="0" bIns="0" anchor="ctr" anchorCtr="1"/>
              <a:lstStyle/>
              <a:p>
                <a:pPr algn="ctr" rtl="0">
                  <a:defRPr sz="900" b="1">
                    <a:solidFill>
                      <a:schemeClr val="tx1"/>
                    </a:solidFill>
                  </a:defRPr>
                </a:pPr>
                <a:endParaRPr lang="es-ES" sz="900" b="1" i="0" u="none" strike="noStrike" baseline="0">
                  <a:solidFill>
                    <a:schemeClr val="tx1"/>
                  </a:solidFill>
                  <a:latin typeface="Aptos Narrow" panose="02110004020202020204"/>
                </a:endParaRPr>
              </a:p>
            </cx:txPr>
            <cx:visibility seriesName="0" categoryName="1" value="0"/>
            <cx:dataLabel idx="0">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Impactos Ambientales Directos</a:t>
                  </a:r>
                </a:p>
              </cx:txPr>
            </cx:dataLabel>
            <cx:dataLabel idx="17">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Contexto Empresarial</a:t>
                  </a:r>
                </a:p>
              </cx:txPr>
            </cx:dataLabel>
            <cx:dataLabel idx="21">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Eficiencia y Efectividad</a:t>
                  </a:r>
                </a:p>
              </cx:txPr>
            </cx:dataLabel>
            <cx:dataLabel idx="28">
              <cx:txPr>
                <a:bodyPr spcFirstLastPara="1" vertOverflow="ellipsis" horzOverflow="overflow" wrap="square" lIns="0" tIns="0" rIns="0" bIns="0" anchor="ctr" anchorCtr="1"/>
                <a:lstStyle/>
                <a:p>
                  <a:pPr algn="ctr" rtl="0">
                    <a:defRPr sz="1600"/>
                  </a:pPr>
                  <a:r>
                    <a:rPr lang="es-ES" sz="1600" b="1" i="0" u="none" strike="noStrike" baseline="0">
                      <a:solidFill>
                        <a:schemeClr val="tx1"/>
                      </a:solidFill>
                      <a:latin typeface="Aptos Narrow" panose="02110004020202020204"/>
                    </a:rPr>
                    <a:t>Normativa y Compatibilidad</a:t>
                  </a:r>
                </a:p>
              </cx:txPr>
            </cx:dataLabel>
          </cx:dataLabels>
          <cx:dataId val="0"/>
          <cx:layoutPr>
            <cx:parentLabelLayout val="overlapping"/>
          </cx:layoutPr>
        </cx:series>
      </cx:plotAreaRegion>
    </cx:plotArea>
    <cx:legend pos="t" align="ctr" overlay="0">
      <cx:txPr>
        <a:bodyPr spcFirstLastPara="1" vertOverflow="ellipsis" horzOverflow="overflow" wrap="square" lIns="0" tIns="0" rIns="0" bIns="0" anchor="ctr" anchorCtr="1"/>
        <a:lstStyle/>
        <a:p>
          <a:pPr algn="ctr" rtl="0">
            <a:defRPr/>
          </a:pPr>
          <a:endParaRPr lang="es-ES" sz="900" b="0" i="0" u="none" strike="noStrike" baseline="0">
            <a:solidFill>
              <a:sysClr val="windowText" lastClr="000000">
                <a:lumMod val="65000"/>
                <a:lumOff val="35000"/>
              </a:sysClr>
            </a:solidFill>
            <a:latin typeface="Aptos Narrow" panose="02110004020202020204"/>
          </a:endParaRPr>
        </a:p>
      </cx:txPr>
    </cx:legend>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hyperlink" Target="#Introducci&#243;n!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Introducci&#243;n!A1"/></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microsoft.com/office/2014/relationships/chartEx" Target="../charts/chartEx1.xml"/><Relationship Id="rId5" Type="http://schemas.openxmlformats.org/officeDocument/2006/relationships/hyperlink" Target="#Introducci&#243;n!A1"/><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jp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microsoft.com/office/2014/relationships/chartEx" Target="../charts/chartEx2.xml"/><Relationship Id="rId5" Type="http://schemas.openxmlformats.org/officeDocument/2006/relationships/hyperlink" Target="#Introducci&#243;n!A1"/><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7.jpg"/></Relationships>
</file>

<file path=xl/drawings/_rels/drawing7.xml.rels><?xml version="1.0" encoding="UTF-8" standalone="yes"?>
<Relationships xmlns="http://schemas.openxmlformats.org/package/2006/relationships"><Relationship Id="rId3" Type="http://schemas.openxmlformats.org/officeDocument/2006/relationships/hyperlink" Target="#Introducci&#243;n!A1"/><Relationship Id="rId2" Type="http://schemas.openxmlformats.org/officeDocument/2006/relationships/chart" Target="../charts/chart1.xml"/><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2" Type="http://schemas.openxmlformats.org/officeDocument/2006/relationships/hyperlink" Target="#Introducci&#243;n!A1"/><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hyperlink" Target="#Introducci&#243;n!A1"/></Relationships>
</file>

<file path=xl/drawings/drawing1.xml><?xml version="1.0" encoding="utf-8"?>
<xdr:wsDr xmlns:xdr="http://schemas.openxmlformats.org/drawingml/2006/spreadsheetDrawing" xmlns:a="http://schemas.openxmlformats.org/drawingml/2006/main">
  <xdr:twoCellAnchor>
    <xdr:from>
      <xdr:col>2</xdr:col>
      <xdr:colOff>508006</xdr:colOff>
      <xdr:row>11</xdr:row>
      <xdr:rowOff>85725</xdr:rowOff>
    </xdr:from>
    <xdr:to>
      <xdr:col>6</xdr:col>
      <xdr:colOff>71973</xdr:colOff>
      <xdr:row>19</xdr:row>
      <xdr:rowOff>127000</xdr:rowOff>
    </xdr:to>
    <xdr:sp macro="" textlink="">
      <xdr:nvSpPr>
        <xdr:cNvPr id="2" name="Rectángulo 1">
          <a:extLst>
            <a:ext uri="{FF2B5EF4-FFF2-40B4-BE49-F238E27FC236}">
              <a16:creationId xmlns:a16="http://schemas.microsoft.com/office/drawing/2014/main" id="{3B2B86E1-D88B-411C-97D0-389DF83D6017}"/>
            </a:ext>
          </a:extLst>
        </xdr:cNvPr>
        <xdr:cNvSpPr/>
      </xdr:nvSpPr>
      <xdr:spPr>
        <a:xfrm>
          <a:off x="1203331" y="4476750"/>
          <a:ext cx="2916767" cy="15652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latin typeface="Calibri" panose="020F0502020204030204" pitchFamily="34" charset="0"/>
              <a:cs typeface="Calibri" panose="020F0502020204030204" pitchFamily="34" charset="0"/>
            </a:rPr>
            <a:t>Paso 1: Estructuración del problema</a:t>
          </a:r>
        </a:p>
      </xdr:txBody>
    </xdr:sp>
    <xdr:clientData/>
  </xdr:twoCellAnchor>
  <xdr:twoCellAnchor>
    <xdr:from>
      <xdr:col>2</xdr:col>
      <xdr:colOff>518583</xdr:colOff>
      <xdr:row>20</xdr:row>
      <xdr:rowOff>118529</xdr:rowOff>
    </xdr:from>
    <xdr:to>
      <xdr:col>6</xdr:col>
      <xdr:colOff>63500</xdr:colOff>
      <xdr:row>30</xdr:row>
      <xdr:rowOff>31750</xdr:rowOff>
    </xdr:to>
    <xdr:sp macro="" textlink="">
      <xdr:nvSpPr>
        <xdr:cNvPr id="3" name="Rectángulo 2">
          <a:extLst>
            <a:ext uri="{FF2B5EF4-FFF2-40B4-BE49-F238E27FC236}">
              <a16:creationId xmlns:a16="http://schemas.microsoft.com/office/drawing/2014/main" id="{396D0D7C-B024-4A0B-ACC1-4E71B0194459}"/>
            </a:ext>
          </a:extLst>
        </xdr:cNvPr>
        <xdr:cNvSpPr/>
      </xdr:nvSpPr>
      <xdr:spPr>
        <a:xfrm>
          <a:off x="1213908" y="6224054"/>
          <a:ext cx="2897717" cy="181822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latin typeface="Calibri" panose="020F0502020204030204" pitchFamily="34" charset="0"/>
              <a:cs typeface="Calibri" panose="020F0502020204030204" pitchFamily="34" charset="0"/>
            </a:rPr>
            <a:t>Paso 2:</a:t>
          </a:r>
          <a:r>
            <a:rPr lang="es-CO" sz="1100" baseline="0">
              <a:latin typeface="Calibri" panose="020F0502020204030204" pitchFamily="34" charset="0"/>
              <a:cs typeface="Calibri" panose="020F0502020204030204" pitchFamily="34" charset="0"/>
            </a:rPr>
            <a:t> </a:t>
          </a:r>
          <a:r>
            <a:rPr lang="es-CO" sz="1100">
              <a:latin typeface="Calibri" panose="020F0502020204030204" pitchFamily="34" charset="0"/>
              <a:cs typeface="Calibri" panose="020F0502020204030204" pitchFamily="34" charset="0"/>
            </a:rPr>
            <a:t>Asignación de preferencias</a:t>
          </a:r>
        </a:p>
      </xdr:txBody>
    </xdr:sp>
    <xdr:clientData/>
  </xdr:twoCellAnchor>
  <xdr:twoCellAnchor>
    <xdr:from>
      <xdr:col>4</xdr:col>
      <xdr:colOff>289989</xdr:colOff>
      <xdr:row>19</xdr:row>
      <xdr:rowOff>127000</xdr:rowOff>
    </xdr:from>
    <xdr:to>
      <xdr:col>4</xdr:col>
      <xdr:colOff>291041</xdr:colOff>
      <xdr:row>20</xdr:row>
      <xdr:rowOff>118529</xdr:rowOff>
    </xdr:to>
    <xdr:cxnSp macro="">
      <xdr:nvCxnSpPr>
        <xdr:cNvPr id="4" name="Conector recto de flecha 3">
          <a:extLst>
            <a:ext uri="{FF2B5EF4-FFF2-40B4-BE49-F238E27FC236}">
              <a16:creationId xmlns:a16="http://schemas.microsoft.com/office/drawing/2014/main" id="{54A1DB39-AE9D-4D06-B828-37ACF9358B29}"/>
            </a:ext>
          </a:extLst>
        </xdr:cNvPr>
        <xdr:cNvCxnSpPr>
          <a:stCxn id="2" idx="2"/>
          <a:endCxn id="3" idx="0"/>
        </xdr:cNvCxnSpPr>
      </xdr:nvCxnSpPr>
      <xdr:spPr>
        <a:xfrm>
          <a:off x="2661714" y="6042025"/>
          <a:ext cx="1052" cy="182029"/>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291041</xdr:colOff>
      <xdr:row>30</xdr:row>
      <xdr:rowOff>31750</xdr:rowOff>
    </xdr:from>
    <xdr:to>
      <xdr:col>4</xdr:col>
      <xdr:colOff>295273</xdr:colOff>
      <xdr:row>31</xdr:row>
      <xdr:rowOff>133347</xdr:rowOff>
    </xdr:to>
    <xdr:cxnSp macro="">
      <xdr:nvCxnSpPr>
        <xdr:cNvPr id="5" name="Conector recto de flecha 4">
          <a:extLst>
            <a:ext uri="{FF2B5EF4-FFF2-40B4-BE49-F238E27FC236}">
              <a16:creationId xmlns:a16="http://schemas.microsoft.com/office/drawing/2014/main" id="{948D2DBF-148C-4187-A9E2-EF10A8D885A5}"/>
            </a:ext>
          </a:extLst>
        </xdr:cNvPr>
        <xdr:cNvCxnSpPr>
          <a:cxnSpLocks/>
          <a:stCxn id="3" idx="2"/>
          <a:endCxn id="10" idx="0"/>
        </xdr:cNvCxnSpPr>
      </xdr:nvCxnSpPr>
      <xdr:spPr>
        <a:xfrm>
          <a:off x="2662766" y="8042275"/>
          <a:ext cx="4232" cy="292097"/>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190500</xdr:colOff>
      <xdr:row>11</xdr:row>
      <xdr:rowOff>114300</xdr:rowOff>
    </xdr:from>
    <xdr:to>
      <xdr:col>16</xdr:col>
      <xdr:colOff>14110</xdr:colOff>
      <xdr:row>19</xdr:row>
      <xdr:rowOff>105833</xdr:rowOff>
    </xdr:to>
    <xdr:sp macro="" textlink="">
      <xdr:nvSpPr>
        <xdr:cNvPr id="6" name="CuadroTexto 5">
          <a:extLst>
            <a:ext uri="{FF2B5EF4-FFF2-40B4-BE49-F238E27FC236}">
              <a16:creationId xmlns:a16="http://schemas.microsoft.com/office/drawing/2014/main" id="{5595056F-E47A-4DD3-BFF2-ACE57F2A78B4}"/>
            </a:ext>
          </a:extLst>
        </xdr:cNvPr>
        <xdr:cNvSpPr txBox="1"/>
      </xdr:nvSpPr>
      <xdr:spPr>
        <a:xfrm>
          <a:off x="4238625" y="4505325"/>
          <a:ext cx="8205610" cy="1515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a:t>En esta primera fase, se</a:t>
          </a:r>
          <a:r>
            <a:rPr lang="es-CO" baseline="0"/>
            <a:t> debe</a:t>
          </a:r>
          <a:r>
            <a:rPr lang="es-CO"/>
            <a:t> definir los cimientos del análisis. La estructuración jerárquica es clave en la metodología AHP para clarificar problemas complejos.</a:t>
          </a:r>
        </a:p>
        <a:p>
          <a:r>
            <a:rPr lang="es-CO" b="1"/>
            <a:t>Definir el Objetivo Principal</a:t>
          </a:r>
          <a:r>
            <a:rPr lang="es-CO"/>
            <a:t>: Escribe en la celda correspondiente la meta que buscas alcanzar. </a:t>
          </a:r>
        </a:p>
        <a:p>
          <a:r>
            <a:rPr lang="es-CO" b="1"/>
            <a:t>Identificar las Alternativas</a:t>
          </a:r>
          <a:r>
            <a:rPr lang="es-CO"/>
            <a:t>: Enumere las opciones que se</a:t>
          </a:r>
          <a:r>
            <a:rPr lang="es-CO" baseline="0"/>
            <a:t> van a</a:t>
          </a:r>
          <a:r>
            <a:rPr lang="es-CO"/>
            <a:t> comparar. </a:t>
          </a:r>
          <a:br>
            <a:rPr lang="es-CO"/>
          </a:br>
          <a:r>
            <a:rPr lang="es-CO" b="1"/>
            <a:t>Establecer los Criterios y Sub-criterios</a:t>
          </a:r>
          <a:r>
            <a:rPr lang="es-CO"/>
            <a:t>: Descomponer el objetivo en los criterios principales que se</a:t>
          </a:r>
          <a:r>
            <a:rPr lang="es-CO" baseline="0"/>
            <a:t> considere</a:t>
          </a:r>
          <a:r>
            <a:rPr lang="es-CO"/>
            <a:t> relevante para el desempeño ambiental. Si es necesario, dividir cada criterio en sub-criterios más específicos.</a:t>
          </a:r>
          <a:endParaRPr lang="es-CO">
            <a:latin typeface="Calibri" panose="020F0502020204030204" pitchFamily="34" charset="0"/>
            <a:cs typeface="Calibri" panose="020F0502020204030204" pitchFamily="34" charset="0"/>
          </a:endParaRPr>
        </a:p>
        <a:p>
          <a:r>
            <a:rPr lang="es-CO">
              <a:latin typeface="Calibri" panose="020F0502020204030204" pitchFamily="34" charset="0"/>
              <a:cs typeface="Calibri" panose="020F0502020204030204" pitchFamily="34" charset="0"/>
            </a:rPr>
            <a:t>Para el ejemplo, se establecieron 4 grupos de criterios:C1: Impactos Ambientales Directos, C2: Contexto empresarial,</a:t>
          </a:r>
          <a:r>
            <a:rPr lang="es-CO" baseline="0">
              <a:latin typeface="Calibri" panose="020F0502020204030204" pitchFamily="34" charset="0"/>
              <a:cs typeface="Calibri" panose="020F0502020204030204" pitchFamily="34" charset="0"/>
            </a:rPr>
            <a:t> </a:t>
          </a:r>
          <a:r>
            <a:rPr lang="es-CO">
              <a:latin typeface="Calibri" panose="020F0502020204030204" pitchFamily="34" charset="0"/>
              <a:cs typeface="Calibri" panose="020F0502020204030204" pitchFamily="34" charset="0"/>
            </a:rPr>
            <a:t>C3:Eficiencia y Efectividad</a:t>
          </a:r>
          <a:r>
            <a:rPr lang="es-CO" baseline="0">
              <a:latin typeface="Calibri" panose="020F0502020204030204" pitchFamily="34" charset="0"/>
              <a:cs typeface="Calibri" panose="020F0502020204030204" pitchFamily="34" charset="0"/>
            </a:rPr>
            <a:t> y </a:t>
          </a:r>
          <a:r>
            <a:rPr lang="es-CO">
              <a:latin typeface="Calibri" panose="020F0502020204030204" pitchFamily="34" charset="0"/>
              <a:cs typeface="Calibri" panose="020F0502020204030204" pitchFamily="34" charset="0"/>
            </a:rPr>
            <a:t>C4:Normativa y Compatibilidad , que se desagregan en 28 subcriterios.</a:t>
          </a:r>
        </a:p>
        <a:p>
          <a:endParaRPr lang="es-CO" sz="1100"/>
        </a:p>
      </xdr:txBody>
    </xdr:sp>
    <xdr:clientData/>
  </xdr:twoCellAnchor>
  <xdr:twoCellAnchor>
    <xdr:from>
      <xdr:col>6</xdr:col>
      <xdr:colOff>179918</xdr:colOff>
      <xdr:row>20</xdr:row>
      <xdr:rowOff>119591</xdr:rowOff>
    </xdr:from>
    <xdr:to>
      <xdr:col>16</xdr:col>
      <xdr:colOff>7056</xdr:colOff>
      <xdr:row>30</xdr:row>
      <xdr:rowOff>74083</xdr:rowOff>
    </xdr:to>
    <xdr:sp macro="" textlink="">
      <xdr:nvSpPr>
        <xdr:cNvPr id="7" name="CuadroTexto 6">
          <a:extLst>
            <a:ext uri="{FF2B5EF4-FFF2-40B4-BE49-F238E27FC236}">
              <a16:creationId xmlns:a16="http://schemas.microsoft.com/office/drawing/2014/main" id="{324BC7D5-E6D9-4920-B5FA-73C1B0555638}"/>
            </a:ext>
          </a:extLst>
        </xdr:cNvPr>
        <xdr:cNvSpPr txBox="1"/>
      </xdr:nvSpPr>
      <xdr:spPr>
        <a:xfrm>
          <a:off x="4228043" y="6225116"/>
          <a:ext cx="8209138" cy="1859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a:t>En la segunda fase se cuantifica la importancia relativa de cada criterio y sub-criterio mediante comparaciones por pares.</a:t>
          </a:r>
        </a:p>
        <a:p>
          <a:r>
            <a:rPr lang="es-CO" b="1"/>
            <a:t>Comparar los Criterios Principales</a:t>
          </a:r>
          <a:r>
            <a:rPr lang="es-CO"/>
            <a:t>: Para cada par de criterios, utiliza la escala numérica (de 1 a 9) para indicar cuál es más importante</a:t>
          </a:r>
          <a:r>
            <a:rPr lang="es-CO" baseline="0"/>
            <a:t> </a:t>
          </a:r>
          <a:r>
            <a:rPr lang="es-CO"/>
            <a:t> y con qué intensidad. La herramienta te guia con una matriz de comparación</a:t>
          </a:r>
          <a:r>
            <a:rPr lang="es-CO" baseline="0"/>
            <a:t>  y de forma autogestionada y automatica.</a:t>
          </a:r>
          <a:endParaRPr lang="es-CO"/>
        </a:p>
        <a:p>
          <a:r>
            <a:rPr lang="es-CO" b="1"/>
            <a:t>Compara los Sub-criterios</a:t>
          </a:r>
          <a:r>
            <a:rPr lang="es-CO"/>
            <a:t>: Repetir el proceso para los sub-criterios dentro de cada criterio principal.</a:t>
          </a:r>
        </a:p>
        <a:p>
          <a:r>
            <a:rPr lang="es-CO" b="1"/>
            <a:t>Verificar la Consistencia (¡Muy Importante!)</a:t>
          </a:r>
          <a:r>
            <a:rPr lang="es-CO"/>
            <a:t>: La herramienta calculará automáticamente el </a:t>
          </a:r>
          <a:r>
            <a:rPr lang="es-CO" b="1"/>
            <a:t>Ratio de Consistencia (CR)</a:t>
          </a:r>
          <a:r>
            <a:rPr lang="es-CO"/>
            <a:t> para cada matriz de comparación.</a:t>
          </a:r>
        </a:p>
        <a:p>
          <a:pPr lvl="1"/>
          <a:r>
            <a:rPr lang="es-CO"/>
            <a:t>Si </a:t>
          </a:r>
        </a:p>
        <a:p>
          <a:pPr lvl="1"/>
          <a:r>
            <a:rPr lang="es-CO" b="1"/>
            <a:t>CR ≤ 0.10</a:t>
          </a:r>
          <a:r>
            <a:rPr lang="es-CO"/>
            <a:t> (10%), tus juicios son consistentes y puedes continuar.</a:t>
          </a:r>
        </a:p>
        <a:p>
          <a:pPr lvl="1"/>
          <a:r>
            <a:rPr lang="es-CO"/>
            <a:t>Si </a:t>
          </a:r>
          <a:r>
            <a:rPr lang="es-CO" b="1"/>
            <a:t>CR &gt; 0.10</a:t>
          </a:r>
          <a:r>
            <a:rPr lang="es-CO"/>
            <a:t>, tus respuestas son inconsistentes. Debes revisar y ajustar las comparaciones de esa matriz hasta que el valor de CR sea aceptable. Esto garantiza la validez matemática del resultado.</a:t>
          </a:r>
        </a:p>
      </xdr:txBody>
    </xdr:sp>
    <xdr:clientData/>
  </xdr:twoCellAnchor>
  <xdr:twoCellAnchor>
    <xdr:from>
      <xdr:col>8</xdr:col>
      <xdr:colOff>238125</xdr:colOff>
      <xdr:row>39</xdr:row>
      <xdr:rowOff>114300</xdr:rowOff>
    </xdr:from>
    <xdr:to>
      <xdr:col>9</xdr:col>
      <xdr:colOff>66675</xdr:colOff>
      <xdr:row>41</xdr:row>
      <xdr:rowOff>66675</xdr:rowOff>
    </xdr:to>
    <xdr:sp macro="" textlink="">
      <xdr:nvSpPr>
        <xdr:cNvPr id="8" name="Flecha: a la derecha 7">
          <a:extLst>
            <a:ext uri="{FF2B5EF4-FFF2-40B4-BE49-F238E27FC236}">
              <a16:creationId xmlns:a16="http://schemas.microsoft.com/office/drawing/2014/main" id="{FBFDD7FC-F554-4683-9B7D-BC40408B6A6C}"/>
            </a:ext>
          </a:extLst>
        </xdr:cNvPr>
        <xdr:cNvSpPr/>
      </xdr:nvSpPr>
      <xdr:spPr>
        <a:xfrm>
          <a:off x="5962650" y="9839325"/>
          <a:ext cx="666750" cy="33337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39</xdr:row>
      <xdr:rowOff>66676</xdr:rowOff>
    </xdr:from>
    <xdr:to>
      <xdr:col>11</xdr:col>
      <xdr:colOff>409574</xdr:colOff>
      <xdr:row>41</xdr:row>
      <xdr:rowOff>38100</xdr:rowOff>
    </xdr:to>
    <xdr:sp macro="" textlink="">
      <xdr:nvSpPr>
        <xdr:cNvPr id="9" name="CuadroTexto 8">
          <a:extLst>
            <a:ext uri="{FF2B5EF4-FFF2-40B4-BE49-F238E27FC236}">
              <a16:creationId xmlns:a16="http://schemas.microsoft.com/office/drawing/2014/main" id="{7C1757E1-E177-46B3-82E2-C193FF6881D2}"/>
            </a:ext>
          </a:extLst>
        </xdr:cNvPr>
        <xdr:cNvSpPr txBox="1"/>
      </xdr:nvSpPr>
      <xdr:spPr>
        <a:xfrm>
          <a:off x="6762750" y="9791701"/>
          <a:ext cx="1885949" cy="352424"/>
        </a:xfrm>
        <a:prstGeom prst="rect">
          <a:avLst/>
        </a:prstGeom>
        <a:solidFill>
          <a:srgbClr val="FFFF9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CO" b="1">
              <a:latin typeface="Calibri" panose="020F0502020204030204" pitchFamily="34" charset="0"/>
              <a:cs typeface="Calibri" panose="020F0502020204030204" pitchFamily="34" charset="0"/>
            </a:rPr>
            <a:t>Puede modificar el</a:t>
          </a:r>
          <a:r>
            <a:rPr lang="es-CO" b="1" baseline="0">
              <a:latin typeface="Calibri" panose="020F0502020204030204" pitchFamily="34" charset="0"/>
              <a:cs typeface="Calibri" panose="020F0502020204030204" pitchFamily="34" charset="0"/>
            </a:rPr>
            <a:t> campo</a:t>
          </a:r>
          <a:endParaRPr lang="es-CO" b="1">
            <a:latin typeface="Calibri" panose="020F0502020204030204" pitchFamily="34" charset="0"/>
            <a:cs typeface="Calibri" panose="020F0502020204030204" pitchFamily="34" charset="0"/>
          </a:endParaRPr>
        </a:p>
      </xdr:txBody>
    </xdr:sp>
    <xdr:clientData/>
  </xdr:twoCellAnchor>
  <xdr:twoCellAnchor>
    <xdr:from>
      <xdr:col>2</xdr:col>
      <xdr:colOff>522815</xdr:colOff>
      <xdr:row>31</xdr:row>
      <xdr:rowOff>133347</xdr:rowOff>
    </xdr:from>
    <xdr:to>
      <xdr:col>6</xdr:col>
      <xdr:colOff>67732</xdr:colOff>
      <xdr:row>38</xdr:row>
      <xdr:rowOff>52916</xdr:rowOff>
    </xdr:to>
    <xdr:sp macro="" textlink="">
      <xdr:nvSpPr>
        <xdr:cNvPr id="10" name="Rectángulo 9">
          <a:extLst>
            <a:ext uri="{FF2B5EF4-FFF2-40B4-BE49-F238E27FC236}">
              <a16:creationId xmlns:a16="http://schemas.microsoft.com/office/drawing/2014/main" id="{C0967517-C8C2-407E-9AFA-49181425FD37}"/>
            </a:ext>
          </a:extLst>
        </xdr:cNvPr>
        <xdr:cNvSpPr/>
      </xdr:nvSpPr>
      <xdr:spPr>
        <a:xfrm>
          <a:off x="1218140" y="8334372"/>
          <a:ext cx="2897717" cy="125306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latin typeface="Calibri" panose="020F0502020204030204" pitchFamily="34" charset="0"/>
              <a:cs typeface="Calibri" panose="020F0502020204030204" pitchFamily="34" charset="0"/>
            </a:rPr>
            <a:t>Paso 4:</a:t>
          </a:r>
          <a:r>
            <a:rPr lang="es-CO" sz="1100" baseline="0">
              <a:latin typeface="Calibri" panose="020F0502020204030204" pitchFamily="34" charset="0"/>
              <a:cs typeface="Calibri" panose="020F0502020204030204" pitchFamily="34" charset="0"/>
            </a:rPr>
            <a:t> </a:t>
          </a:r>
          <a:r>
            <a:rPr lang="es-CO"/>
            <a:t>Interpretación de Resultados</a:t>
          </a:r>
          <a:endParaRPr lang="es-CO" sz="1100">
            <a:latin typeface="Calibri" panose="020F0502020204030204" pitchFamily="34" charset="0"/>
            <a:cs typeface="Calibri" panose="020F0502020204030204" pitchFamily="34" charset="0"/>
          </a:endParaRPr>
        </a:p>
      </xdr:txBody>
    </xdr:sp>
    <xdr:clientData/>
  </xdr:twoCellAnchor>
  <xdr:twoCellAnchor>
    <xdr:from>
      <xdr:col>6</xdr:col>
      <xdr:colOff>222251</xdr:colOff>
      <xdr:row>31</xdr:row>
      <xdr:rowOff>137584</xdr:rowOff>
    </xdr:from>
    <xdr:to>
      <xdr:col>16</xdr:col>
      <xdr:colOff>49389</xdr:colOff>
      <xdr:row>38</xdr:row>
      <xdr:rowOff>52916</xdr:rowOff>
    </xdr:to>
    <xdr:sp macro="" textlink="">
      <xdr:nvSpPr>
        <xdr:cNvPr id="11" name="CuadroTexto 10">
          <a:extLst>
            <a:ext uri="{FF2B5EF4-FFF2-40B4-BE49-F238E27FC236}">
              <a16:creationId xmlns:a16="http://schemas.microsoft.com/office/drawing/2014/main" id="{AA723D40-4E05-458B-908F-643DA4ECDEDF}"/>
            </a:ext>
          </a:extLst>
        </xdr:cNvPr>
        <xdr:cNvSpPr txBox="1"/>
      </xdr:nvSpPr>
      <xdr:spPr>
        <a:xfrm>
          <a:off x="4270376" y="8338609"/>
          <a:ext cx="8209138" cy="12488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a:t>Esta es la última pestaña y consolida toda la información que</a:t>
          </a:r>
          <a:r>
            <a:rPr lang="es-CO" baseline="0"/>
            <a:t> se ha</a:t>
          </a:r>
          <a:r>
            <a:rPr lang="es-CO"/>
            <a:t> introducido.</a:t>
          </a:r>
        </a:p>
        <a:p>
          <a:r>
            <a:rPr lang="es-CO" b="1"/>
            <a:t>Analizar la Priorización Final</a:t>
          </a:r>
          <a:r>
            <a:rPr lang="es-CO"/>
            <a:t>: La herramienta muestra un puntaje global para cada una de las alternativas. La alternativa con el </a:t>
          </a:r>
          <a:r>
            <a:rPr lang="es-CO" b="1"/>
            <a:t>puntaje más alto</a:t>
          </a:r>
          <a:r>
            <a:rPr lang="es-CO"/>
            <a:t> es la que presenta el </a:t>
          </a:r>
          <a:r>
            <a:rPr lang="es-CO" b="1" i="1" u="sng"/>
            <a:t>mejor desempeño ambiental </a:t>
          </a:r>
          <a:r>
            <a:rPr lang="es-CO"/>
            <a:t>general, según tu estructuración y tus juicios de valor.</a:t>
          </a:r>
        </a:p>
        <a:p>
          <a:r>
            <a:rPr lang="es-CO" b="1"/>
            <a:t>Revisa los Pesos de los Criterios</a:t>
          </a:r>
          <a:r>
            <a:rPr lang="es-CO"/>
            <a:t>: En esta misma pestaña podrás ver los pesos finales (ponderación global) de cada criterio y sub-criterio. Esto te permite entender qué factores tuvieron mayor influencia en la decisión final.</a:t>
          </a:r>
        </a:p>
        <a:p>
          <a:r>
            <a:rPr lang="es-CO" b="1"/>
            <a:t>Toma tu Decisión</a:t>
          </a:r>
          <a:r>
            <a:rPr lang="es-CO"/>
            <a:t>: Con este resultado cuantitativo y estructurado, ya tienes una base sólida y defendible para seleccionar la mejor alternativa de medición del desempeño ambiental de un producto.</a:t>
          </a:r>
        </a:p>
        <a:p>
          <a:endParaRPr lang="es-CO"/>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133350</xdr:colOff>
      <xdr:row>24</xdr:row>
      <xdr:rowOff>457200</xdr:rowOff>
    </xdr:from>
    <xdr:to>
      <xdr:col>6</xdr:col>
      <xdr:colOff>609600</xdr:colOff>
      <xdr:row>27</xdr:row>
      <xdr:rowOff>114300</xdr:rowOff>
    </xdr:to>
    <xdr:sp macro="" textlink="">
      <xdr:nvSpPr>
        <xdr:cNvPr id="4" name="Flecha: a la derecha 3">
          <a:extLst>
            <a:ext uri="{FF2B5EF4-FFF2-40B4-BE49-F238E27FC236}">
              <a16:creationId xmlns:a16="http://schemas.microsoft.com/office/drawing/2014/main" id="{0C75F7DC-0380-4E8E-A87A-DF2220E0998F}"/>
            </a:ext>
          </a:extLst>
        </xdr:cNvPr>
        <xdr:cNvSpPr/>
      </xdr:nvSpPr>
      <xdr:spPr>
        <a:xfrm>
          <a:off x="4057650" y="9553575"/>
          <a:ext cx="2000250" cy="1257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12</xdr:col>
      <xdr:colOff>47626</xdr:colOff>
      <xdr:row>25</xdr:row>
      <xdr:rowOff>104775</xdr:rowOff>
    </xdr:from>
    <xdr:to>
      <xdr:col>12</xdr:col>
      <xdr:colOff>752476</xdr:colOff>
      <xdr:row>25</xdr:row>
      <xdr:rowOff>552450</xdr:rowOff>
    </xdr:to>
    <xdr:sp macro="" textlink="">
      <xdr:nvSpPr>
        <xdr:cNvPr id="5" name="Flecha: a la derecha 4">
          <a:extLst>
            <a:ext uri="{FF2B5EF4-FFF2-40B4-BE49-F238E27FC236}">
              <a16:creationId xmlns:a16="http://schemas.microsoft.com/office/drawing/2014/main" id="{EB305C32-2DD7-492B-967C-B5BF3AAF5818}"/>
            </a:ext>
          </a:extLst>
        </xdr:cNvPr>
        <xdr:cNvSpPr/>
      </xdr:nvSpPr>
      <xdr:spPr>
        <a:xfrm>
          <a:off x="9991726" y="7924800"/>
          <a:ext cx="704850" cy="44767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257175</xdr:colOff>
      <xdr:row>0</xdr:row>
      <xdr:rowOff>85725</xdr:rowOff>
    </xdr:from>
    <xdr:to>
      <xdr:col>15</xdr:col>
      <xdr:colOff>219074</xdr:colOff>
      <xdr:row>1</xdr:row>
      <xdr:rowOff>428625</xdr:rowOff>
    </xdr:to>
    <xdr:sp macro="" textlink="">
      <xdr:nvSpPr>
        <xdr:cNvPr id="8" name="Rectángulo 7">
          <a:hlinkClick xmlns:r="http://schemas.openxmlformats.org/officeDocument/2006/relationships" r:id="rId1"/>
          <a:extLst>
            <a:ext uri="{FF2B5EF4-FFF2-40B4-BE49-F238E27FC236}">
              <a16:creationId xmlns:a16="http://schemas.microsoft.com/office/drawing/2014/main" id="{62AFDEBD-0EFE-4E02-871D-75A230C4BC22}"/>
            </a:ext>
          </a:extLst>
        </xdr:cNvPr>
        <xdr:cNvSpPr/>
      </xdr:nvSpPr>
      <xdr:spPr>
        <a:xfrm>
          <a:off x="10963275" y="85725"/>
          <a:ext cx="1485899" cy="5334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666750</xdr:colOff>
      <xdr:row>76</xdr:row>
      <xdr:rowOff>47625</xdr:rowOff>
    </xdr:from>
    <xdr:to>
      <xdr:col>14</xdr:col>
      <xdr:colOff>628649</xdr:colOff>
      <xdr:row>79</xdr:row>
      <xdr:rowOff>38100</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9C6DE28-A20C-48D8-B34C-82675D4762A8}"/>
            </a:ext>
          </a:extLst>
        </xdr:cNvPr>
        <xdr:cNvSpPr/>
      </xdr:nvSpPr>
      <xdr:spPr>
        <a:xfrm>
          <a:off x="9810750" y="14839950"/>
          <a:ext cx="1485899" cy="5334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twoCellAnchor>
    <xdr:from>
      <xdr:col>13</xdr:col>
      <xdr:colOff>666751</xdr:colOff>
      <xdr:row>0</xdr:row>
      <xdr:rowOff>76200</xdr:rowOff>
    </xdr:from>
    <xdr:to>
      <xdr:col>15</xdr:col>
      <xdr:colOff>628650</xdr:colOff>
      <xdr:row>1</xdr:row>
      <xdr:rowOff>142875</xdr:rowOff>
    </xdr:to>
    <xdr:sp macro="" textlink="">
      <xdr:nvSpPr>
        <xdr:cNvPr id="5" name="Rectángulo 4">
          <a:hlinkClick xmlns:r="http://schemas.openxmlformats.org/officeDocument/2006/relationships" r:id="rId1"/>
          <a:extLst>
            <a:ext uri="{FF2B5EF4-FFF2-40B4-BE49-F238E27FC236}">
              <a16:creationId xmlns:a16="http://schemas.microsoft.com/office/drawing/2014/main" id="{D2D9D512-9DE2-4A85-B9E5-C242EC27C8D4}"/>
            </a:ext>
          </a:extLst>
        </xdr:cNvPr>
        <xdr:cNvSpPr/>
      </xdr:nvSpPr>
      <xdr:spPr>
        <a:xfrm>
          <a:off x="10572751" y="76200"/>
          <a:ext cx="1485899" cy="5334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twoCellAnchor editAs="oneCell">
    <xdr:from>
      <xdr:col>3</xdr:col>
      <xdr:colOff>480541</xdr:colOff>
      <xdr:row>10</xdr:row>
      <xdr:rowOff>78030</xdr:rowOff>
    </xdr:from>
    <xdr:to>
      <xdr:col>10</xdr:col>
      <xdr:colOff>133865</xdr:colOff>
      <xdr:row>36</xdr:row>
      <xdr:rowOff>15914</xdr:rowOff>
    </xdr:to>
    <xdr:pic>
      <xdr:nvPicPr>
        <xdr:cNvPr id="4" name="Imagen 3">
          <a:extLst>
            <a:ext uri="{FF2B5EF4-FFF2-40B4-BE49-F238E27FC236}">
              <a16:creationId xmlns:a16="http://schemas.microsoft.com/office/drawing/2014/main" id="{D4F850CE-005E-4FF4-AD54-2AFD5AA4A5F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758818" y="2600868"/>
          <a:ext cx="4969304" cy="49578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11339</xdr:colOff>
      <xdr:row>29</xdr:row>
      <xdr:rowOff>66675</xdr:rowOff>
    </xdr:from>
    <xdr:to>
      <xdr:col>16</xdr:col>
      <xdr:colOff>314326</xdr:colOff>
      <xdr:row>39</xdr:row>
      <xdr:rowOff>95249</xdr:rowOff>
    </xdr:to>
    <xdr:grpSp>
      <xdr:nvGrpSpPr>
        <xdr:cNvPr id="2" name="Grupo 1">
          <a:extLst>
            <a:ext uri="{FF2B5EF4-FFF2-40B4-BE49-F238E27FC236}">
              <a16:creationId xmlns:a16="http://schemas.microsoft.com/office/drawing/2014/main" id="{DC7686C4-BD8F-4853-8E81-4FBBDC52736B}"/>
            </a:ext>
          </a:extLst>
        </xdr:cNvPr>
        <xdr:cNvGrpSpPr/>
      </xdr:nvGrpSpPr>
      <xdr:grpSpPr>
        <a:xfrm>
          <a:off x="2654527" y="6900863"/>
          <a:ext cx="12602143" cy="1933574"/>
          <a:chOff x="2706914" y="6896100"/>
          <a:chExt cx="10437587" cy="1933574"/>
        </a:xfrm>
      </xdr:grpSpPr>
      <xdr:pic>
        <xdr:nvPicPr>
          <xdr:cNvPr id="3" name="Imagen 2">
            <a:extLst>
              <a:ext uri="{FF2B5EF4-FFF2-40B4-BE49-F238E27FC236}">
                <a16:creationId xmlns:a16="http://schemas.microsoft.com/office/drawing/2014/main" id="{427BF5B1-7F9F-31C5-AEB3-31B106F0BE2F}"/>
              </a:ext>
            </a:extLst>
          </xdr:cNvPr>
          <xdr:cNvPicPr>
            <a:picLocks noChangeAspect="1"/>
          </xdr:cNvPicPr>
        </xdr:nvPicPr>
        <xdr:blipFill>
          <a:blip xmlns:r="http://schemas.openxmlformats.org/officeDocument/2006/relationships" r:embed="rId1"/>
          <a:stretch>
            <a:fillRect/>
          </a:stretch>
        </xdr:blipFill>
        <xdr:spPr>
          <a:xfrm>
            <a:off x="4352925" y="6896100"/>
            <a:ext cx="5104762" cy="1514286"/>
          </a:xfrm>
          <a:prstGeom prst="rect">
            <a:avLst/>
          </a:prstGeom>
        </xdr:spPr>
      </xdr:pic>
      <xdr:sp macro="" textlink="">
        <xdr:nvSpPr>
          <xdr:cNvPr id="4" name="CuadroTexto 3">
            <a:extLst>
              <a:ext uri="{FF2B5EF4-FFF2-40B4-BE49-F238E27FC236}">
                <a16:creationId xmlns:a16="http://schemas.microsoft.com/office/drawing/2014/main" id="{739AB0D3-2EE1-A503-7820-DDD8A88EA518}"/>
              </a:ext>
            </a:extLst>
          </xdr:cNvPr>
          <xdr:cNvSpPr txBox="1"/>
        </xdr:nvSpPr>
        <xdr:spPr>
          <a:xfrm>
            <a:off x="2706914" y="7480752"/>
            <a:ext cx="988332" cy="784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Criterios</a:t>
            </a:r>
          </a:p>
          <a:p>
            <a:r>
              <a:rPr lang="es-CO" sz="1100" b="1">
                <a:latin typeface="Calibri" panose="020F0502020204030204" pitchFamily="34" charset="0"/>
                <a:cs typeface="Calibri" panose="020F0502020204030204" pitchFamily="34" charset="0"/>
              </a:rPr>
              <a:t>del mismo orden y/o</a:t>
            </a:r>
            <a:r>
              <a:rPr lang="es-CO" sz="1100" b="1" baseline="0">
                <a:latin typeface="Calibri" panose="020F0502020204030204" pitchFamily="34" charset="0"/>
                <a:cs typeface="Calibri" panose="020F0502020204030204" pitchFamily="34" charset="0"/>
              </a:rPr>
              <a:t> jerarquía</a:t>
            </a:r>
            <a:endParaRPr lang="es-CO" sz="1100" b="1">
              <a:latin typeface="Calibri" panose="020F0502020204030204" pitchFamily="34" charset="0"/>
              <a:cs typeface="Calibri" panose="020F0502020204030204" pitchFamily="34" charset="0"/>
            </a:endParaRPr>
          </a:p>
        </xdr:txBody>
      </xdr:sp>
      <xdr:sp macro="" textlink="">
        <xdr:nvSpPr>
          <xdr:cNvPr id="5" name="Abrir llave 4">
            <a:extLst>
              <a:ext uri="{FF2B5EF4-FFF2-40B4-BE49-F238E27FC236}">
                <a16:creationId xmlns:a16="http://schemas.microsoft.com/office/drawing/2014/main" id="{DA513A68-2C59-EDD9-4AFF-44A9EA694191}"/>
              </a:ext>
            </a:extLst>
          </xdr:cNvPr>
          <xdr:cNvSpPr/>
        </xdr:nvSpPr>
        <xdr:spPr>
          <a:xfrm>
            <a:off x="3543300" y="6908800"/>
            <a:ext cx="828675" cy="1454150"/>
          </a:xfrm>
          <a:prstGeom prst="leftBrace">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sp macro="" textlink="">
        <xdr:nvSpPr>
          <xdr:cNvPr id="6" name="Elipse 5">
            <a:extLst>
              <a:ext uri="{FF2B5EF4-FFF2-40B4-BE49-F238E27FC236}">
                <a16:creationId xmlns:a16="http://schemas.microsoft.com/office/drawing/2014/main" id="{E22230A3-61D9-35E6-E14A-BFA85F4277BD}"/>
              </a:ext>
            </a:extLst>
          </xdr:cNvPr>
          <xdr:cNvSpPr/>
        </xdr:nvSpPr>
        <xdr:spPr>
          <a:xfrm>
            <a:off x="5562600" y="7781925"/>
            <a:ext cx="657225" cy="304800"/>
          </a:xfrm>
          <a:prstGeom prst="ellipse">
            <a:avLst/>
          </a:prstGeom>
          <a:no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xnSp macro="">
        <xdr:nvCxnSpPr>
          <xdr:cNvPr id="7" name="Conector: angular 6">
            <a:extLst>
              <a:ext uri="{FF2B5EF4-FFF2-40B4-BE49-F238E27FC236}">
                <a16:creationId xmlns:a16="http://schemas.microsoft.com/office/drawing/2014/main" id="{EFC5C214-AC0A-E7BA-29C1-AA6D4BB2355C}"/>
              </a:ext>
            </a:extLst>
          </xdr:cNvPr>
          <xdr:cNvCxnSpPr>
            <a:stCxn id="6" idx="4"/>
            <a:endCxn id="8" idx="1"/>
          </xdr:cNvCxnSpPr>
        </xdr:nvCxnSpPr>
        <xdr:spPr>
          <a:xfrm rot="16200000" flipH="1">
            <a:off x="5829301" y="8148637"/>
            <a:ext cx="604837" cy="481012"/>
          </a:xfrm>
          <a:prstGeom prst="bentConnector2">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8" name="CuadroTexto 7">
            <a:extLst>
              <a:ext uri="{FF2B5EF4-FFF2-40B4-BE49-F238E27FC236}">
                <a16:creationId xmlns:a16="http://schemas.microsoft.com/office/drawing/2014/main" id="{935523FA-8894-D845-62C4-DDBBFFB6A8E5}"/>
              </a:ext>
            </a:extLst>
          </xdr:cNvPr>
          <xdr:cNvSpPr txBox="1"/>
        </xdr:nvSpPr>
        <xdr:spPr>
          <a:xfrm>
            <a:off x="6372225" y="8553449"/>
            <a:ext cx="48196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C3</a:t>
            </a:r>
            <a:r>
              <a:rPr lang="es-CO" sz="1100" b="1" baseline="0">
                <a:latin typeface="Calibri" panose="020F0502020204030204" pitchFamily="34" charset="0"/>
                <a:cs typeface="Calibri" panose="020F0502020204030204" pitchFamily="34" charset="0"/>
              </a:rPr>
              <a:t>  tiene importancia moderada (3 - Escala fundamental de Saaty) sobre C1</a:t>
            </a:r>
            <a:endParaRPr lang="es-CO" sz="1100" b="1">
              <a:latin typeface="Calibri" panose="020F0502020204030204" pitchFamily="34" charset="0"/>
              <a:cs typeface="Calibri" panose="020F0502020204030204" pitchFamily="34" charset="0"/>
            </a:endParaRPr>
          </a:p>
        </xdr:txBody>
      </xdr:sp>
      <xdr:sp macro="" textlink="">
        <xdr:nvSpPr>
          <xdr:cNvPr id="9" name="Elipse 8">
            <a:extLst>
              <a:ext uri="{FF2B5EF4-FFF2-40B4-BE49-F238E27FC236}">
                <a16:creationId xmlns:a16="http://schemas.microsoft.com/office/drawing/2014/main" id="{F3A05563-5DDB-AD20-D58B-CCFE401F1002}"/>
              </a:ext>
            </a:extLst>
          </xdr:cNvPr>
          <xdr:cNvSpPr/>
        </xdr:nvSpPr>
        <xdr:spPr>
          <a:xfrm>
            <a:off x="7572375" y="7181850"/>
            <a:ext cx="657225" cy="304800"/>
          </a:xfrm>
          <a:prstGeom prst="ellipse">
            <a:avLst/>
          </a:prstGeom>
          <a:no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xnSp macro="">
        <xdr:nvCxnSpPr>
          <xdr:cNvPr id="10" name="Conector: angular 9">
            <a:extLst>
              <a:ext uri="{FF2B5EF4-FFF2-40B4-BE49-F238E27FC236}">
                <a16:creationId xmlns:a16="http://schemas.microsoft.com/office/drawing/2014/main" id="{B0665857-F27E-22AF-574A-96B4772FEE82}"/>
              </a:ext>
            </a:extLst>
          </xdr:cNvPr>
          <xdr:cNvCxnSpPr>
            <a:stCxn id="6" idx="6"/>
            <a:endCxn id="9" idx="2"/>
          </xdr:cNvCxnSpPr>
        </xdr:nvCxnSpPr>
        <xdr:spPr>
          <a:xfrm flipV="1">
            <a:off x="6219825" y="7334250"/>
            <a:ext cx="1352550" cy="600075"/>
          </a:xfrm>
          <a:prstGeom prst="bentConnector3">
            <a:avLst>
              <a:gd name="adj1" fmla="val 12676"/>
            </a:avLst>
          </a:prstGeom>
          <a:ln w="28575">
            <a:prstDash val="dash"/>
          </a:ln>
        </xdr:spPr>
        <xdr:style>
          <a:lnRef idx="1">
            <a:schemeClr val="accent6"/>
          </a:lnRef>
          <a:fillRef idx="0">
            <a:schemeClr val="accent6"/>
          </a:fillRef>
          <a:effectRef idx="0">
            <a:schemeClr val="accent6"/>
          </a:effectRef>
          <a:fontRef idx="minor">
            <a:schemeClr val="tx1"/>
          </a:fontRef>
        </xdr:style>
      </xdr:cxnSp>
      <xdr:cxnSp macro="">
        <xdr:nvCxnSpPr>
          <xdr:cNvPr id="11" name="Conector: angular 10">
            <a:extLst>
              <a:ext uri="{FF2B5EF4-FFF2-40B4-BE49-F238E27FC236}">
                <a16:creationId xmlns:a16="http://schemas.microsoft.com/office/drawing/2014/main" id="{309C0055-0330-BED2-DED0-7A5D49F88096}"/>
              </a:ext>
            </a:extLst>
          </xdr:cNvPr>
          <xdr:cNvCxnSpPr/>
        </xdr:nvCxnSpPr>
        <xdr:spPr>
          <a:xfrm>
            <a:off x="8486778" y="7334253"/>
            <a:ext cx="2114548" cy="138109"/>
          </a:xfrm>
          <a:prstGeom prst="bentConnector3">
            <a:avLst>
              <a:gd name="adj1" fmla="val 50000"/>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12" name="CuadroTexto 11">
            <a:extLst>
              <a:ext uri="{FF2B5EF4-FFF2-40B4-BE49-F238E27FC236}">
                <a16:creationId xmlns:a16="http://schemas.microsoft.com/office/drawing/2014/main" id="{66DD64CF-3BA5-B189-0656-97955B372363}"/>
              </a:ext>
            </a:extLst>
          </xdr:cNvPr>
          <xdr:cNvSpPr txBox="1"/>
        </xdr:nvSpPr>
        <xdr:spPr>
          <a:xfrm>
            <a:off x="10572751" y="7343774"/>
            <a:ext cx="2571750" cy="638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Condición de reciprocidad, se cumple que en la matriz A, </a:t>
            </a:r>
            <a:r>
              <a:rPr lang="es-CO" sz="1800" b="1">
                <a:latin typeface="Calibri" panose="020F0502020204030204" pitchFamily="34" charset="0"/>
                <a:cs typeface="Calibri" panose="020F0502020204030204" pitchFamily="34" charset="0"/>
              </a:rPr>
              <a:t>a</a:t>
            </a:r>
            <a:r>
              <a:rPr lang="es-CO" sz="1100" b="1">
                <a:latin typeface="Calibri" panose="020F0502020204030204" pitchFamily="34" charset="0"/>
                <a:cs typeface="Calibri" panose="020F0502020204030204" pitchFamily="34" charset="0"/>
              </a:rPr>
              <a:t>ij =1/</a:t>
            </a:r>
            <a:r>
              <a:rPr lang="es-CO" sz="1800" b="1">
                <a:latin typeface="Calibri" panose="020F0502020204030204" pitchFamily="34" charset="0"/>
                <a:cs typeface="Calibri" panose="020F0502020204030204" pitchFamily="34" charset="0"/>
              </a:rPr>
              <a:t>a</a:t>
            </a:r>
            <a:r>
              <a:rPr lang="es-CO" sz="1100" b="1">
                <a:latin typeface="Calibri" panose="020F0502020204030204" pitchFamily="34" charset="0"/>
                <a:cs typeface="Calibri" panose="020F0502020204030204" pitchFamily="34" charset="0"/>
              </a:rPr>
              <a:t>ji</a:t>
            </a:r>
          </a:p>
        </xdr:txBody>
      </xdr:sp>
    </xdr:grpSp>
    <xdr:clientData/>
  </xdr:twoCellAnchor>
  <xdr:twoCellAnchor>
    <xdr:from>
      <xdr:col>11</xdr:col>
      <xdr:colOff>85725</xdr:colOff>
      <xdr:row>44</xdr:row>
      <xdr:rowOff>66675</xdr:rowOff>
    </xdr:from>
    <xdr:to>
      <xdr:col>12</xdr:col>
      <xdr:colOff>155425</xdr:colOff>
      <xdr:row>47</xdr:row>
      <xdr:rowOff>377825</xdr:rowOff>
    </xdr:to>
    <xdr:sp macro="" textlink="">
      <xdr:nvSpPr>
        <xdr:cNvPr id="13" name="Abrir llave 12">
          <a:extLst>
            <a:ext uri="{FF2B5EF4-FFF2-40B4-BE49-F238E27FC236}">
              <a16:creationId xmlns:a16="http://schemas.microsoft.com/office/drawing/2014/main" id="{C2E28C06-42C1-4FF0-AA86-9581F79E32AB}"/>
            </a:ext>
          </a:extLst>
        </xdr:cNvPr>
        <xdr:cNvSpPr/>
      </xdr:nvSpPr>
      <xdr:spPr>
        <a:xfrm rot="10800000">
          <a:off x="10382250" y="10172700"/>
          <a:ext cx="974575" cy="1454150"/>
        </a:xfrm>
        <a:prstGeom prst="leftBrace">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editAs="oneCell">
    <xdr:from>
      <xdr:col>11</xdr:col>
      <xdr:colOff>220293</xdr:colOff>
      <xdr:row>53</xdr:row>
      <xdr:rowOff>0</xdr:rowOff>
    </xdr:from>
    <xdr:to>
      <xdr:col>14</xdr:col>
      <xdr:colOff>456364</xdr:colOff>
      <xdr:row>57</xdr:row>
      <xdr:rowOff>33111</xdr:rowOff>
    </xdr:to>
    <xdr:pic>
      <xdr:nvPicPr>
        <xdr:cNvPr id="14" name="Imagen 13">
          <a:extLst>
            <a:ext uri="{FF2B5EF4-FFF2-40B4-BE49-F238E27FC236}">
              <a16:creationId xmlns:a16="http://schemas.microsoft.com/office/drawing/2014/main" id="{E118CC8E-8117-4D41-8295-03F5BBE19A82}"/>
            </a:ext>
          </a:extLst>
        </xdr:cNvPr>
        <xdr:cNvPicPr>
          <a:picLocks noChangeAspect="1"/>
        </xdr:cNvPicPr>
      </xdr:nvPicPr>
      <xdr:blipFill>
        <a:blip xmlns:r="http://schemas.openxmlformats.org/officeDocument/2006/relationships" r:embed="rId2"/>
        <a:stretch>
          <a:fillRect/>
        </a:stretch>
      </xdr:blipFill>
      <xdr:spPr>
        <a:xfrm>
          <a:off x="10516818" y="12582525"/>
          <a:ext cx="3303121" cy="1328511"/>
        </a:xfrm>
        <a:prstGeom prst="rect">
          <a:avLst/>
        </a:prstGeom>
      </xdr:spPr>
    </xdr:pic>
    <xdr:clientData/>
  </xdr:twoCellAnchor>
  <xdr:twoCellAnchor>
    <xdr:from>
      <xdr:col>10</xdr:col>
      <xdr:colOff>552453</xdr:colOff>
      <xdr:row>54</xdr:row>
      <xdr:rowOff>142878</xdr:rowOff>
    </xdr:from>
    <xdr:to>
      <xdr:col>11</xdr:col>
      <xdr:colOff>200024</xdr:colOff>
      <xdr:row>55</xdr:row>
      <xdr:rowOff>133350</xdr:rowOff>
    </xdr:to>
    <xdr:cxnSp macro="">
      <xdr:nvCxnSpPr>
        <xdr:cNvPr id="15" name="Conector: angular 14">
          <a:extLst>
            <a:ext uri="{FF2B5EF4-FFF2-40B4-BE49-F238E27FC236}">
              <a16:creationId xmlns:a16="http://schemas.microsoft.com/office/drawing/2014/main" id="{762E49D0-03ED-4557-9150-36E4752FB07E}"/>
            </a:ext>
          </a:extLst>
        </xdr:cNvPr>
        <xdr:cNvCxnSpPr/>
      </xdr:nvCxnSpPr>
      <xdr:spPr>
        <a:xfrm flipV="1">
          <a:off x="9867903" y="12915903"/>
          <a:ext cx="628646" cy="495297"/>
        </a:xfrm>
        <a:prstGeom prst="bentConnector3">
          <a:avLst>
            <a:gd name="adj1" fmla="val 50000"/>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11</xdr:col>
      <xdr:colOff>342900</xdr:colOff>
      <xdr:row>57</xdr:row>
      <xdr:rowOff>180975</xdr:rowOff>
    </xdr:from>
    <xdr:to>
      <xdr:col>13</xdr:col>
      <xdr:colOff>461686</xdr:colOff>
      <xdr:row>64</xdr:row>
      <xdr:rowOff>95094</xdr:rowOff>
    </xdr:to>
    <xdr:pic>
      <xdr:nvPicPr>
        <xdr:cNvPr id="16" name="Imagen 15">
          <a:extLst>
            <a:ext uri="{FF2B5EF4-FFF2-40B4-BE49-F238E27FC236}">
              <a16:creationId xmlns:a16="http://schemas.microsoft.com/office/drawing/2014/main" id="{51DCEB2F-C8F3-4FB3-91CF-19E3B7F4BFEA}"/>
            </a:ext>
          </a:extLst>
        </xdr:cNvPr>
        <xdr:cNvPicPr>
          <a:picLocks noChangeAspect="1"/>
        </xdr:cNvPicPr>
      </xdr:nvPicPr>
      <xdr:blipFill>
        <a:blip xmlns:r="http://schemas.openxmlformats.org/officeDocument/2006/relationships" r:embed="rId3"/>
        <a:stretch>
          <a:fillRect/>
        </a:stretch>
      </xdr:blipFill>
      <xdr:spPr>
        <a:xfrm>
          <a:off x="10639425" y="14058900"/>
          <a:ext cx="2214286" cy="1247619"/>
        </a:xfrm>
        <a:prstGeom prst="rect">
          <a:avLst/>
        </a:prstGeom>
      </xdr:spPr>
    </xdr:pic>
    <xdr:clientData/>
  </xdr:twoCellAnchor>
  <xdr:twoCellAnchor>
    <xdr:from>
      <xdr:col>3</xdr:col>
      <xdr:colOff>200025</xdr:colOff>
      <xdr:row>61</xdr:row>
      <xdr:rowOff>42785</xdr:rowOff>
    </xdr:from>
    <xdr:to>
      <xdr:col>11</xdr:col>
      <xdr:colOff>314325</xdr:colOff>
      <xdr:row>62</xdr:row>
      <xdr:rowOff>114300</xdr:rowOff>
    </xdr:to>
    <xdr:cxnSp macro="">
      <xdr:nvCxnSpPr>
        <xdr:cNvPr id="17" name="Conector: angular 16">
          <a:extLst>
            <a:ext uri="{FF2B5EF4-FFF2-40B4-BE49-F238E27FC236}">
              <a16:creationId xmlns:a16="http://schemas.microsoft.com/office/drawing/2014/main" id="{021782EC-DF7A-4CE3-A3CB-4C87ABE18440}"/>
            </a:ext>
          </a:extLst>
        </xdr:cNvPr>
        <xdr:cNvCxnSpPr/>
      </xdr:nvCxnSpPr>
      <xdr:spPr>
        <a:xfrm flipV="1">
          <a:off x="2847975" y="14682710"/>
          <a:ext cx="7762875" cy="262015"/>
        </a:xfrm>
        <a:prstGeom prst="bentConnector3">
          <a:avLst>
            <a:gd name="adj1" fmla="val 6647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180975</xdr:colOff>
      <xdr:row>49</xdr:row>
      <xdr:rowOff>123825</xdr:rowOff>
    </xdr:from>
    <xdr:to>
      <xdr:col>3</xdr:col>
      <xdr:colOff>685800</xdr:colOff>
      <xdr:row>51</xdr:row>
      <xdr:rowOff>85725</xdr:rowOff>
    </xdr:to>
    <xdr:sp macro="" textlink="">
      <xdr:nvSpPr>
        <xdr:cNvPr id="18" name="CuadroTexto 17">
          <a:extLst>
            <a:ext uri="{FF2B5EF4-FFF2-40B4-BE49-F238E27FC236}">
              <a16:creationId xmlns:a16="http://schemas.microsoft.com/office/drawing/2014/main" id="{26E7661A-65CA-414C-957F-184C53F6D2AC}"/>
            </a:ext>
          </a:extLst>
        </xdr:cNvPr>
        <xdr:cNvSpPr txBox="1"/>
      </xdr:nvSpPr>
      <xdr:spPr>
        <a:xfrm>
          <a:off x="2828925" y="11944350"/>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9525</xdr:colOff>
      <xdr:row>48</xdr:row>
      <xdr:rowOff>9524</xdr:rowOff>
    </xdr:from>
    <xdr:to>
      <xdr:col>6</xdr:col>
      <xdr:colOff>57150</xdr:colOff>
      <xdr:row>50</xdr:row>
      <xdr:rowOff>30237</xdr:rowOff>
    </xdr:to>
    <xdr:sp macro="" textlink="">
      <xdr:nvSpPr>
        <xdr:cNvPr id="19" name="Abrir llave 18">
          <a:extLst>
            <a:ext uri="{FF2B5EF4-FFF2-40B4-BE49-F238E27FC236}">
              <a16:creationId xmlns:a16="http://schemas.microsoft.com/office/drawing/2014/main" id="{E504A4DD-A93D-4C03-801C-1594D2F4E436}"/>
            </a:ext>
          </a:extLst>
        </xdr:cNvPr>
        <xdr:cNvSpPr/>
      </xdr:nvSpPr>
      <xdr:spPr>
        <a:xfrm rot="5400000" flipH="1">
          <a:off x="2899531" y="8968618"/>
          <a:ext cx="401713" cy="574357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10</xdr:col>
      <xdr:colOff>228600</xdr:colOff>
      <xdr:row>49</xdr:row>
      <xdr:rowOff>57150</xdr:rowOff>
    </xdr:from>
    <xdr:to>
      <xdr:col>10</xdr:col>
      <xdr:colOff>733425</xdr:colOff>
      <xdr:row>51</xdr:row>
      <xdr:rowOff>19050</xdr:rowOff>
    </xdr:to>
    <xdr:sp macro="" textlink="">
      <xdr:nvSpPr>
        <xdr:cNvPr id="20" name="CuadroTexto 19">
          <a:extLst>
            <a:ext uri="{FF2B5EF4-FFF2-40B4-BE49-F238E27FC236}">
              <a16:creationId xmlns:a16="http://schemas.microsoft.com/office/drawing/2014/main" id="{9E4C9C14-7FFF-458D-938A-11ED6DAC4C41}"/>
            </a:ext>
          </a:extLst>
        </xdr:cNvPr>
        <xdr:cNvSpPr txBox="1"/>
      </xdr:nvSpPr>
      <xdr:spPr>
        <a:xfrm>
          <a:off x="9544050" y="11877675"/>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10</xdr:col>
      <xdr:colOff>38099</xdr:colOff>
      <xdr:row>48</xdr:row>
      <xdr:rowOff>57149</xdr:rowOff>
    </xdr:from>
    <xdr:to>
      <xdr:col>10</xdr:col>
      <xdr:colOff>790575</xdr:colOff>
      <xdr:row>49</xdr:row>
      <xdr:rowOff>106436</xdr:rowOff>
    </xdr:to>
    <xdr:sp macro="" textlink="">
      <xdr:nvSpPr>
        <xdr:cNvPr id="21" name="Abrir llave 20">
          <a:extLst>
            <a:ext uri="{FF2B5EF4-FFF2-40B4-BE49-F238E27FC236}">
              <a16:creationId xmlns:a16="http://schemas.microsoft.com/office/drawing/2014/main" id="{D5F77013-61DF-40D2-BACD-20B3B9B12EE6}"/>
            </a:ext>
          </a:extLst>
        </xdr:cNvPr>
        <xdr:cNvSpPr/>
      </xdr:nvSpPr>
      <xdr:spPr>
        <a:xfrm rot="5400000" flipH="1">
          <a:off x="9609893" y="11430830"/>
          <a:ext cx="239787" cy="752476"/>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2</xdr:col>
      <xdr:colOff>238125</xdr:colOff>
      <xdr:row>70</xdr:row>
      <xdr:rowOff>38100</xdr:rowOff>
    </xdr:from>
    <xdr:to>
      <xdr:col>2</xdr:col>
      <xdr:colOff>742950</xdr:colOff>
      <xdr:row>72</xdr:row>
      <xdr:rowOff>0</xdr:rowOff>
    </xdr:to>
    <xdr:sp macro="" textlink="">
      <xdr:nvSpPr>
        <xdr:cNvPr id="22" name="CuadroTexto 21">
          <a:extLst>
            <a:ext uri="{FF2B5EF4-FFF2-40B4-BE49-F238E27FC236}">
              <a16:creationId xmlns:a16="http://schemas.microsoft.com/office/drawing/2014/main" id="{5B24A87C-8498-4B95-860F-10D54D2FE179}"/>
            </a:ext>
          </a:extLst>
        </xdr:cNvPr>
        <xdr:cNvSpPr txBox="1"/>
      </xdr:nvSpPr>
      <xdr:spPr>
        <a:xfrm>
          <a:off x="1447800" y="16402050"/>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2</xdr:col>
      <xdr:colOff>47624</xdr:colOff>
      <xdr:row>69</xdr:row>
      <xdr:rowOff>38099</xdr:rowOff>
    </xdr:from>
    <xdr:to>
      <xdr:col>3</xdr:col>
      <xdr:colOff>9525</xdr:colOff>
      <xdr:row>70</xdr:row>
      <xdr:rowOff>87386</xdr:rowOff>
    </xdr:to>
    <xdr:sp macro="" textlink="">
      <xdr:nvSpPr>
        <xdr:cNvPr id="23" name="Abrir llave 22">
          <a:extLst>
            <a:ext uri="{FF2B5EF4-FFF2-40B4-BE49-F238E27FC236}">
              <a16:creationId xmlns:a16="http://schemas.microsoft.com/office/drawing/2014/main" id="{F6C6A749-1322-446E-ACB5-B05F000FB8FC}"/>
            </a:ext>
          </a:extLst>
        </xdr:cNvPr>
        <xdr:cNvSpPr/>
      </xdr:nvSpPr>
      <xdr:spPr>
        <a:xfrm rot="5400000" flipH="1">
          <a:off x="1837493" y="15631355"/>
          <a:ext cx="239787" cy="1400176"/>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4</xdr:col>
      <xdr:colOff>257175</xdr:colOff>
      <xdr:row>69</xdr:row>
      <xdr:rowOff>161925</xdr:rowOff>
    </xdr:from>
    <xdr:to>
      <xdr:col>5</xdr:col>
      <xdr:colOff>0</xdr:colOff>
      <xdr:row>71</xdr:row>
      <xdr:rowOff>123825</xdr:rowOff>
    </xdr:to>
    <xdr:sp macro="" textlink="">
      <xdr:nvSpPr>
        <xdr:cNvPr id="24" name="CuadroTexto 23">
          <a:extLst>
            <a:ext uri="{FF2B5EF4-FFF2-40B4-BE49-F238E27FC236}">
              <a16:creationId xmlns:a16="http://schemas.microsoft.com/office/drawing/2014/main" id="{8B204ACB-23F1-4AA7-B235-65CF49B3FFC8}"/>
            </a:ext>
          </a:extLst>
        </xdr:cNvPr>
        <xdr:cNvSpPr txBox="1"/>
      </xdr:nvSpPr>
      <xdr:spPr>
        <a:xfrm>
          <a:off x="4010025" y="16335375"/>
          <a:ext cx="9144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4</xdr:col>
      <xdr:colOff>66674</xdr:colOff>
      <xdr:row>68</xdr:row>
      <xdr:rowOff>161924</xdr:rowOff>
    </xdr:from>
    <xdr:to>
      <xdr:col>5</xdr:col>
      <xdr:colOff>57150</xdr:colOff>
      <xdr:row>70</xdr:row>
      <xdr:rowOff>20711</xdr:rowOff>
    </xdr:to>
    <xdr:sp macro="" textlink="">
      <xdr:nvSpPr>
        <xdr:cNvPr id="25" name="Abrir llave 24">
          <a:extLst>
            <a:ext uri="{FF2B5EF4-FFF2-40B4-BE49-F238E27FC236}">
              <a16:creationId xmlns:a16="http://schemas.microsoft.com/office/drawing/2014/main" id="{FD3EA127-CECD-4F81-ABFD-924B5CEED64E}"/>
            </a:ext>
          </a:extLst>
        </xdr:cNvPr>
        <xdr:cNvSpPr/>
      </xdr:nvSpPr>
      <xdr:spPr>
        <a:xfrm rot="5400000" flipH="1">
          <a:off x="4280656" y="15683742"/>
          <a:ext cx="239787" cy="1162051"/>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5</xdr:col>
      <xdr:colOff>438150</xdr:colOff>
      <xdr:row>65</xdr:row>
      <xdr:rowOff>152400</xdr:rowOff>
    </xdr:from>
    <xdr:to>
      <xdr:col>6</xdr:col>
      <xdr:colOff>47625</xdr:colOff>
      <xdr:row>68</xdr:row>
      <xdr:rowOff>38100</xdr:rowOff>
    </xdr:to>
    <xdr:sp macro="" textlink="">
      <xdr:nvSpPr>
        <xdr:cNvPr id="26" name="Flecha: a la derecha 25">
          <a:extLst>
            <a:ext uri="{FF2B5EF4-FFF2-40B4-BE49-F238E27FC236}">
              <a16:creationId xmlns:a16="http://schemas.microsoft.com/office/drawing/2014/main" id="{6DF2ACE4-1A9A-43D8-8F34-E30A23659644}"/>
            </a:ext>
          </a:extLst>
        </xdr:cNvPr>
        <xdr:cNvSpPr/>
      </xdr:nvSpPr>
      <xdr:spPr>
        <a:xfrm>
          <a:off x="5362575" y="15554325"/>
          <a:ext cx="600075" cy="46672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109764</xdr:colOff>
      <xdr:row>66</xdr:row>
      <xdr:rowOff>136525</xdr:rowOff>
    </xdr:from>
    <xdr:to>
      <xdr:col>11</xdr:col>
      <xdr:colOff>766989</xdr:colOff>
      <xdr:row>68</xdr:row>
      <xdr:rowOff>88447</xdr:rowOff>
    </xdr:to>
    <xdr:sp macro="" textlink="">
      <xdr:nvSpPr>
        <xdr:cNvPr id="27" name="Es igual a 26">
          <a:extLst>
            <a:ext uri="{FF2B5EF4-FFF2-40B4-BE49-F238E27FC236}">
              <a16:creationId xmlns:a16="http://schemas.microsoft.com/office/drawing/2014/main" id="{FD544ED8-5E39-46C6-8024-ECDCC4660631}"/>
            </a:ext>
          </a:extLst>
        </xdr:cNvPr>
        <xdr:cNvSpPr/>
      </xdr:nvSpPr>
      <xdr:spPr>
        <a:xfrm>
          <a:off x="10406289" y="15728950"/>
          <a:ext cx="657225" cy="34244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oneCell">
    <xdr:from>
      <xdr:col>4</xdr:col>
      <xdr:colOff>714375</xdr:colOff>
      <xdr:row>72</xdr:row>
      <xdr:rowOff>180975</xdr:rowOff>
    </xdr:from>
    <xdr:to>
      <xdr:col>6</xdr:col>
      <xdr:colOff>376011</xdr:colOff>
      <xdr:row>76</xdr:row>
      <xdr:rowOff>38024</xdr:rowOff>
    </xdr:to>
    <xdr:pic>
      <xdr:nvPicPr>
        <xdr:cNvPr id="28" name="Imagen 27">
          <a:extLst>
            <a:ext uri="{FF2B5EF4-FFF2-40B4-BE49-F238E27FC236}">
              <a16:creationId xmlns:a16="http://schemas.microsoft.com/office/drawing/2014/main" id="{AFFCB7EC-C6D9-4046-8A37-51054147E039}"/>
            </a:ext>
          </a:extLst>
        </xdr:cNvPr>
        <xdr:cNvPicPr>
          <a:picLocks noChangeAspect="1"/>
        </xdr:cNvPicPr>
      </xdr:nvPicPr>
      <xdr:blipFill>
        <a:blip xmlns:r="http://schemas.openxmlformats.org/officeDocument/2006/relationships" r:embed="rId4"/>
        <a:stretch>
          <a:fillRect/>
        </a:stretch>
      </xdr:blipFill>
      <xdr:spPr>
        <a:xfrm>
          <a:off x="4467225" y="16925925"/>
          <a:ext cx="1823811" cy="619049"/>
        </a:xfrm>
        <a:prstGeom prst="rect">
          <a:avLst/>
        </a:prstGeom>
      </xdr:spPr>
    </xdr:pic>
    <xdr:clientData/>
  </xdr:twoCellAnchor>
  <xdr:twoCellAnchor>
    <xdr:from>
      <xdr:col>3</xdr:col>
      <xdr:colOff>285750</xdr:colOff>
      <xdr:row>74</xdr:row>
      <xdr:rowOff>133350</xdr:rowOff>
    </xdr:from>
    <xdr:to>
      <xdr:col>4</xdr:col>
      <xdr:colOff>561975</xdr:colOff>
      <xdr:row>74</xdr:row>
      <xdr:rowOff>146050</xdr:rowOff>
    </xdr:to>
    <xdr:cxnSp macro="">
      <xdr:nvCxnSpPr>
        <xdr:cNvPr id="29" name="Conector: angular 28">
          <a:extLst>
            <a:ext uri="{FF2B5EF4-FFF2-40B4-BE49-F238E27FC236}">
              <a16:creationId xmlns:a16="http://schemas.microsoft.com/office/drawing/2014/main" id="{44758CB2-E254-463D-852B-39E5C0085D47}"/>
            </a:ext>
          </a:extLst>
        </xdr:cNvPr>
        <xdr:cNvCxnSpPr/>
      </xdr:nvCxnSpPr>
      <xdr:spPr>
        <a:xfrm>
          <a:off x="2933700" y="17259300"/>
          <a:ext cx="1381125" cy="12700"/>
        </a:xfrm>
        <a:prstGeom prst="bentConnector3">
          <a:avLst>
            <a:gd name="adj1" fmla="val 50000"/>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123825</xdr:colOff>
      <xdr:row>73</xdr:row>
      <xdr:rowOff>66675</xdr:rowOff>
    </xdr:from>
    <xdr:to>
      <xdr:col>12</xdr:col>
      <xdr:colOff>19050</xdr:colOff>
      <xdr:row>76</xdr:row>
      <xdr:rowOff>19050</xdr:rowOff>
    </xdr:to>
    <xdr:sp macro="" textlink="">
      <xdr:nvSpPr>
        <xdr:cNvPr id="30" name="Es igual a 29">
          <a:extLst>
            <a:ext uri="{FF2B5EF4-FFF2-40B4-BE49-F238E27FC236}">
              <a16:creationId xmlns:a16="http://schemas.microsoft.com/office/drawing/2014/main" id="{2B621C4C-DFF0-4A1C-B5D6-89445B077992}"/>
            </a:ext>
          </a:extLst>
        </xdr:cNvPr>
        <xdr:cNvSpPr/>
      </xdr:nvSpPr>
      <xdr:spPr>
        <a:xfrm>
          <a:off x="10420350" y="17002125"/>
          <a:ext cx="800100" cy="523875"/>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oneCell">
    <xdr:from>
      <xdr:col>4</xdr:col>
      <xdr:colOff>676275</xdr:colOff>
      <xdr:row>76</xdr:row>
      <xdr:rowOff>123825</xdr:rowOff>
    </xdr:from>
    <xdr:to>
      <xdr:col>8</xdr:col>
      <xdr:colOff>221784</xdr:colOff>
      <xdr:row>83</xdr:row>
      <xdr:rowOff>123825</xdr:rowOff>
    </xdr:to>
    <xdr:pic>
      <xdr:nvPicPr>
        <xdr:cNvPr id="31" name="Imagen 30">
          <a:extLst>
            <a:ext uri="{FF2B5EF4-FFF2-40B4-BE49-F238E27FC236}">
              <a16:creationId xmlns:a16="http://schemas.microsoft.com/office/drawing/2014/main" id="{B6E9E344-C2A3-4F4D-AE01-2505E0EC2A2E}"/>
            </a:ext>
          </a:extLst>
        </xdr:cNvPr>
        <xdr:cNvPicPr>
          <a:picLocks noChangeAspect="1"/>
        </xdr:cNvPicPr>
      </xdr:nvPicPr>
      <xdr:blipFill>
        <a:blip xmlns:r="http://schemas.openxmlformats.org/officeDocument/2006/relationships" r:embed="rId2"/>
        <a:stretch>
          <a:fillRect/>
        </a:stretch>
      </xdr:blipFill>
      <xdr:spPr>
        <a:xfrm>
          <a:off x="4429125" y="17630775"/>
          <a:ext cx="3307884" cy="1333500"/>
        </a:xfrm>
        <a:prstGeom prst="rect">
          <a:avLst/>
        </a:prstGeom>
      </xdr:spPr>
    </xdr:pic>
    <xdr:clientData/>
  </xdr:twoCellAnchor>
  <xdr:twoCellAnchor>
    <xdr:from>
      <xdr:col>3</xdr:col>
      <xdr:colOff>228600</xdr:colOff>
      <xdr:row>79</xdr:row>
      <xdr:rowOff>95250</xdr:rowOff>
    </xdr:from>
    <xdr:to>
      <xdr:col>4</xdr:col>
      <xdr:colOff>552450</xdr:colOff>
      <xdr:row>79</xdr:row>
      <xdr:rowOff>95250</xdr:rowOff>
    </xdr:to>
    <xdr:cxnSp macro="">
      <xdr:nvCxnSpPr>
        <xdr:cNvPr id="32" name="Conector recto de flecha 31">
          <a:extLst>
            <a:ext uri="{FF2B5EF4-FFF2-40B4-BE49-F238E27FC236}">
              <a16:creationId xmlns:a16="http://schemas.microsoft.com/office/drawing/2014/main" id="{934CEC18-60F4-496F-9D1A-0B1304BB327B}"/>
            </a:ext>
          </a:extLst>
        </xdr:cNvPr>
        <xdr:cNvCxnSpPr/>
      </xdr:nvCxnSpPr>
      <xdr:spPr>
        <a:xfrm>
          <a:off x="2876550" y="18173700"/>
          <a:ext cx="1428750"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970187</xdr:colOff>
      <xdr:row>78</xdr:row>
      <xdr:rowOff>47625</xdr:rowOff>
    </xdr:from>
    <xdr:to>
      <xdr:col>11</xdr:col>
      <xdr:colOff>827312</xdr:colOff>
      <xdr:row>81</xdr:row>
      <xdr:rowOff>0</xdr:rowOff>
    </xdr:to>
    <xdr:sp macro="" textlink="">
      <xdr:nvSpPr>
        <xdr:cNvPr id="33" name="Es igual a 32">
          <a:extLst>
            <a:ext uri="{FF2B5EF4-FFF2-40B4-BE49-F238E27FC236}">
              <a16:creationId xmlns:a16="http://schemas.microsoft.com/office/drawing/2014/main" id="{6CB1E2B6-724C-4B37-AF8D-1A024ED88BF6}"/>
            </a:ext>
          </a:extLst>
        </xdr:cNvPr>
        <xdr:cNvSpPr/>
      </xdr:nvSpPr>
      <xdr:spPr>
        <a:xfrm>
          <a:off x="10285637" y="17935575"/>
          <a:ext cx="838200" cy="523875"/>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12</xdr:col>
      <xdr:colOff>754856</xdr:colOff>
      <xdr:row>75</xdr:row>
      <xdr:rowOff>78581</xdr:rowOff>
    </xdr:from>
    <xdr:to>
      <xdr:col>14</xdr:col>
      <xdr:colOff>330995</xdr:colOff>
      <xdr:row>80</xdr:row>
      <xdr:rowOff>100807</xdr:rowOff>
    </xdr:to>
    <xdr:sp macro="" textlink="">
      <xdr:nvSpPr>
        <xdr:cNvPr id="34" name="CuadroTexto 33">
          <a:extLst>
            <a:ext uri="{FF2B5EF4-FFF2-40B4-BE49-F238E27FC236}">
              <a16:creationId xmlns:a16="http://schemas.microsoft.com/office/drawing/2014/main" id="{95003D8E-D9E9-42CD-A202-F403298E175E}"/>
            </a:ext>
          </a:extLst>
        </xdr:cNvPr>
        <xdr:cNvSpPr txBox="1"/>
      </xdr:nvSpPr>
      <xdr:spPr>
        <a:xfrm>
          <a:off x="11956256" y="17395031"/>
          <a:ext cx="1452564" cy="974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criterios es:</a:t>
          </a:r>
          <a:endParaRPr lang="es-CO" sz="1100" b="1">
            <a:latin typeface="Calibri" panose="020F0502020204030204" pitchFamily="34" charset="0"/>
            <a:cs typeface="Calibri" panose="020F0502020204030204" pitchFamily="34" charset="0"/>
          </a:endParaRPr>
        </a:p>
      </xdr:txBody>
    </xdr:sp>
    <xdr:clientData/>
  </xdr:twoCellAnchor>
  <xdr:twoCellAnchor>
    <xdr:from>
      <xdr:col>9</xdr:col>
      <xdr:colOff>73086</xdr:colOff>
      <xdr:row>106</xdr:row>
      <xdr:rowOff>43330</xdr:rowOff>
    </xdr:from>
    <xdr:to>
      <xdr:col>9</xdr:col>
      <xdr:colOff>577911</xdr:colOff>
      <xdr:row>107</xdr:row>
      <xdr:rowOff>154781</xdr:rowOff>
    </xdr:to>
    <xdr:sp macro="" textlink="">
      <xdr:nvSpPr>
        <xdr:cNvPr id="35" name="CuadroTexto 34">
          <a:extLst>
            <a:ext uri="{FF2B5EF4-FFF2-40B4-BE49-F238E27FC236}">
              <a16:creationId xmlns:a16="http://schemas.microsoft.com/office/drawing/2014/main" id="{A376EABD-E8A0-475F-A644-B6C1E6FD086A}"/>
            </a:ext>
          </a:extLst>
        </xdr:cNvPr>
        <xdr:cNvSpPr txBox="1"/>
      </xdr:nvSpPr>
      <xdr:spPr>
        <a:xfrm>
          <a:off x="8483661" y="26970505"/>
          <a:ext cx="504825" cy="3019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0</xdr:col>
      <xdr:colOff>212911</xdr:colOff>
      <xdr:row>104</xdr:row>
      <xdr:rowOff>98360</xdr:rowOff>
    </xdr:from>
    <xdr:to>
      <xdr:col>18</xdr:col>
      <xdr:colOff>78440</xdr:colOff>
      <xdr:row>106</xdr:row>
      <xdr:rowOff>119073</xdr:rowOff>
    </xdr:to>
    <xdr:sp macro="" textlink="">
      <xdr:nvSpPr>
        <xdr:cNvPr id="36" name="Abrir llave 35">
          <a:extLst>
            <a:ext uri="{FF2B5EF4-FFF2-40B4-BE49-F238E27FC236}">
              <a16:creationId xmlns:a16="http://schemas.microsoft.com/office/drawing/2014/main" id="{32CCFD3A-8215-4831-9519-14F5943A8CAF}"/>
            </a:ext>
          </a:extLst>
        </xdr:cNvPr>
        <xdr:cNvSpPr/>
      </xdr:nvSpPr>
      <xdr:spPr>
        <a:xfrm rot="5400000" flipH="1">
          <a:off x="8045831" y="18811615"/>
          <a:ext cx="401713" cy="16067554"/>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xdr:col>
      <xdr:colOff>759171</xdr:colOff>
      <xdr:row>87</xdr:row>
      <xdr:rowOff>325359</xdr:rowOff>
    </xdr:from>
    <xdr:to>
      <xdr:col>1</xdr:col>
      <xdr:colOff>973665</xdr:colOff>
      <xdr:row>87</xdr:row>
      <xdr:rowOff>328083</xdr:rowOff>
    </xdr:to>
    <xdr:cxnSp macro="">
      <xdr:nvCxnSpPr>
        <xdr:cNvPr id="37" name="Conector recto de flecha 36">
          <a:extLst>
            <a:ext uri="{FF2B5EF4-FFF2-40B4-BE49-F238E27FC236}">
              <a16:creationId xmlns:a16="http://schemas.microsoft.com/office/drawing/2014/main" id="{7AC9822D-24D0-467D-BEC8-228EA260BB9D}"/>
            </a:ext>
          </a:extLst>
        </xdr:cNvPr>
        <xdr:cNvCxnSpPr/>
      </xdr:nvCxnSpPr>
      <xdr:spPr>
        <a:xfrm>
          <a:off x="978246" y="19975434"/>
          <a:ext cx="214494" cy="2724"/>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551695</xdr:colOff>
      <xdr:row>87</xdr:row>
      <xdr:rowOff>584703</xdr:rowOff>
    </xdr:from>
    <xdr:to>
      <xdr:col>1</xdr:col>
      <xdr:colOff>556452</xdr:colOff>
      <xdr:row>87</xdr:row>
      <xdr:rowOff>777550</xdr:rowOff>
    </xdr:to>
    <xdr:cxnSp macro="">
      <xdr:nvCxnSpPr>
        <xdr:cNvPr id="38" name="Conector recto de flecha 37">
          <a:extLst>
            <a:ext uri="{FF2B5EF4-FFF2-40B4-BE49-F238E27FC236}">
              <a16:creationId xmlns:a16="http://schemas.microsoft.com/office/drawing/2014/main" id="{629E8E9B-A381-4C3F-953B-649CC7850BA0}"/>
            </a:ext>
          </a:extLst>
        </xdr:cNvPr>
        <xdr:cNvCxnSpPr/>
      </xdr:nvCxnSpPr>
      <xdr:spPr>
        <a:xfrm>
          <a:off x="770770" y="20234778"/>
          <a:ext cx="4757" cy="192847"/>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428626</xdr:colOff>
      <xdr:row>126</xdr:row>
      <xdr:rowOff>95251</xdr:rowOff>
    </xdr:from>
    <xdr:to>
      <xdr:col>18</xdr:col>
      <xdr:colOff>933451</xdr:colOff>
      <xdr:row>128</xdr:row>
      <xdr:rowOff>57151</xdr:rowOff>
    </xdr:to>
    <xdr:sp macro="" textlink="">
      <xdr:nvSpPr>
        <xdr:cNvPr id="39" name="CuadroTexto 38">
          <a:extLst>
            <a:ext uri="{FF2B5EF4-FFF2-40B4-BE49-F238E27FC236}">
              <a16:creationId xmlns:a16="http://schemas.microsoft.com/office/drawing/2014/main" id="{36F5C8E6-117E-4319-9837-E310128D3F56}"/>
            </a:ext>
          </a:extLst>
        </xdr:cNvPr>
        <xdr:cNvSpPr txBox="1"/>
      </xdr:nvSpPr>
      <xdr:spPr>
        <a:xfrm>
          <a:off x="16630651" y="34470976"/>
          <a:ext cx="504825"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18</xdr:col>
      <xdr:colOff>71438</xdr:colOff>
      <xdr:row>125</xdr:row>
      <xdr:rowOff>119061</xdr:rowOff>
    </xdr:from>
    <xdr:to>
      <xdr:col>19</xdr:col>
      <xdr:colOff>35719</xdr:colOff>
      <xdr:row>126</xdr:row>
      <xdr:rowOff>144537</xdr:rowOff>
    </xdr:to>
    <xdr:sp macro="" textlink="">
      <xdr:nvSpPr>
        <xdr:cNvPr id="40" name="Abrir llave 39">
          <a:extLst>
            <a:ext uri="{FF2B5EF4-FFF2-40B4-BE49-F238E27FC236}">
              <a16:creationId xmlns:a16="http://schemas.microsoft.com/office/drawing/2014/main" id="{FEEFB611-37A0-427A-892B-9F62EA92C1D2}"/>
            </a:ext>
          </a:extLst>
        </xdr:cNvPr>
        <xdr:cNvSpPr/>
      </xdr:nvSpPr>
      <xdr:spPr>
        <a:xfrm rot="5400000" flipH="1">
          <a:off x="16677444" y="33900305"/>
          <a:ext cx="215976" cy="1023937"/>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2</xdr:col>
      <xdr:colOff>190501</xdr:colOff>
      <xdr:row>145</xdr:row>
      <xdr:rowOff>11907</xdr:rowOff>
    </xdr:from>
    <xdr:to>
      <xdr:col>2</xdr:col>
      <xdr:colOff>695326</xdr:colOff>
      <xdr:row>146</xdr:row>
      <xdr:rowOff>164307</xdr:rowOff>
    </xdr:to>
    <xdr:sp macro="" textlink="">
      <xdr:nvSpPr>
        <xdr:cNvPr id="41" name="CuadroTexto 40">
          <a:extLst>
            <a:ext uri="{FF2B5EF4-FFF2-40B4-BE49-F238E27FC236}">
              <a16:creationId xmlns:a16="http://schemas.microsoft.com/office/drawing/2014/main" id="{4A15731C-B486-4241-874C-5460E95FB6CF}"/>
            </a:ext>
          </a:extLst>
        </xdr:cNvPr>
        <xdr:cNvSpPr txBox="1"/>
      </xdr:nvSpPr>
      <xdr:spPr>
        <a:xfrm>
          <a:off x="1400176" y="38235732"/>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2</xdr:col>
      <xdr:colOff>23814</xdr:colOff>
      <xdr:row>143</xdr:row>
      <xdr:rowOff>178594</xdr:rowOff>
    </xdr:from>
    <xdr:to>
      <xdr:col>2</xdr:col>
      <xdr:colOff>771528</xdr:colOff>
      <xdr:row>145</xdr:row>
      <xdr:rowOff>37381</xdr:rowOff>
    </xdr:to>
    <xdr:sp macro="" textlink="">
      <xdr:nvSpPr>
        <xdr:cNvPr id="42" name="Abrir llave 41">
          <a:extLst>
            <a:ext uri="{FF2B5EF4-FFF2-40B4-BE49-F238E27FC236}">
              <a16:creationId xmlns:a16="http://schemas.microsoft.com/office/drawing/2014/main" id="{9BD7653C-8AC4-45B7-B909-3EA04B8E93A3}"/>
            </a:ext>
          </a:extLst>
        </xdr:cNvPr>
        <xdr:cNvSpPr/>
      </xdr:nvSpPr>
      <xdr:spPr>
        <a:xfrm rot="5400000" flipH="1">
          <a:off x="1487452" y="37767456"/>
          <a:ext cx="239787" cy="747714"/>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3</xdr:col>
      <xdr:colOff>890589</xdr:colOff>
      <xdr:row>143</xdr:row>
      <xdr:rowOff>176212</xdr:rowOff>
    </xdr:from>
    <xdr:to>
      <xdr:col>4</xdr:col>
      <xdr:colOff>1138240</xdr:colOff>
      <xdr:row>145</xdr:row>
      <xdr:rowOff>34999</xdr:rowOff>
    </xdr:to>
    <xdr:sp macro="" textlink="">
      <xdr:nvSpPr>
        <xdr:cNvPr id="43" name="Abrir llave 42">
          <a:extLst>
            <a:ext uri="{FF2B5EF4-FFF2-40B4-BE49-F238E27FC236}">
              <a16:creationId xmlns:a16="http://schemas.microsoft.com/office/drawing/2014/main" id="{6CB7A664-3CDE-4416-93E8-791AA14EA6DE}"/>
            </a:ext>
          </a:extLst>
        </xdr:cNvPr>
        <xdr:cNvSpPr/>
      </xdr:nvSpPr>
      <xdr:spPr>
        <a:xfrm rot="5400000" flipH="1">
          <a:off x="4094921" y="37462655"/>
          <a:ext cx="239787" cy="1352551"/>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4</xdr:col>
      <xdr:colOff>247651</xdr:colOff>
      <xdr:row>145</xdr:row>
      <xdr:rowOff>9526</xdr:rowOff>
    </xdr:from>
    <xdr:to>
      <xdr:col>4</xdr:col>
      <xdr:colOff>752476</xdr:colOff>
      <xdr:row>146</xdr:row>
      <xdr:rowOff>161926</xdr:rowOff>
    </xdr:to>
    <xdr:sp macro="" textlink="">
      <xdr:nvSpPr>
        <xdr:cNvPr id="44" name="CuadroTexto 43">
          <a:extLst>
            <a:ext uri="{FF2B5EF4-FFF2-40B4-BE49-F238E27FC236}">
              <a16:creationId xmlns:a16="http://schemas.microsoft.com/office/drawing/2014/main" id="{F6ED50DF-49AB-4ED6-A3A6-F47F80402354}"/>
            </a:ext>
          </a:extLst>
        </xdr:cNvPr>
        <xdr:cNvSpPr txBox="1"/>
      </xdr:nvSpPr>
      <xdr:spPr>
        <a:xfrm>
          <a:off x="4000501" y="38233351"/>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5</xdr:col>
      <xdr:colOff>369093</xdr:colOff>
      <xdr:row>134</xdr:row>
      <xdr:rowOff>35718</xdr:rowOff>
    </xdr:from>
    <xdr:to>
      <xdr:col>5</xdr:col>
      <xdr:colOff>966787</xdr:colOff>
      <xdr:row>136</xdr:row>
      <xdr:rowOff>111918</xdr:rowOff>
    </xdr:to>
    <xdr:sp macro="" textlink="">
      <xdr:nvSpPr>
        <xdr:cNvPr id="45" name="Flecha: a la derecha 44">
          <a:extLst>
            <a:ext uri="{FF2B5EF4-FFF2-40B4-BE49-F238E27FC236}">
              <a16:creationId xmlns:a16="http://schemas.microsoft.com/office/drawing/2014/main" id="{1AAE7778-0A91-4C42-9B8F-66E06A6D198B}"/>
            </a:ext>
          </a:extLst>
        </xdr:cNvPr>
        <xdr:cNvSpPr/>
      </xdr:nvSpPr>
      <xdr:spPr>
        <a:xfrm>
          <a:off x="5293518" y="36154518"/>
          <a:ext cx="597694" cy="46672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154780</xdr:colOff>
      <xdr:row>132</xdr:row>
      <xdr:rowOff>164306</xdr:rowOff>
    </xdr:from>
    <xdr:to>
      <xdr:col>11</xdr:col>
      <xdr:colOff>714375</xdr:colOff>
      <xdr:row>134</xdr:row>
      <xdr:rowOff>95249</xdr:rowOff>
    </xdr:to>
    <xdr:sp macro="" textlink="">
      <xdr:nvSpPr>
        <xdr:cNvPr id="46" name="Es igual a 45">
          <a:extLst>
            <a:ext uri="{FF2B5EF4-FFF2-40B4-BE49-F238E27FC236}">
              <a16:creationId xmlns:a16="http://schemas.microsoft.com/office/drawing/2014/main" id="{5BD0237B-A37C-436A-A421-0AC880A60E31}"/>
            </a:ext>
          </a:extLst>
        </xdr:cNvPr>
        <xdr:cNvSpPr/>
      </xdr:nvSpPr>
      <xdr:spPr>
        <a:xfrm>
          <a:off x="10451305" y="35902106"/>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11</xdr:col>
      <xdr:colOff>164305</xdr:colOff>
      <xdr:row>130</xdr:row>
      <xdr:rowOff>102393</xdr:rowOff>
    </xdr:from>
    <xdr:to>
      <xdr:col>11</xdr:col>
      <xdr:colOff>723900</xdr:colOff>
      <xdr:row>132</xdr:row>
      <xdr:rowOff>33336</xdr:rowOff>
    </xdr:to>
    <xdr:sp macro="" textlink="">
      <xdr:nvSpPr>
        <xdr:cNvPr id="47" name="Es igual a 46">
          <a:extLst>
            <a:ext uri="{FF2B5EF4-FFF2-40B4-BE49-F238E27FC236}">
              <a16:creationId xmlns:a16="http://schemas.microsoft.com/office/drawing/2014/main" id="{7D355723-D85A-4820-9319-75323D4596B0}"/>
            </a:ext>
          </a:extLst>
        </xdr:cNvPr>
        <xdr:cNvSpPr/>
      </xdr:nvSpPr>
      <xdr:spPr>
        <a:xfrm>
          <a:off x="10460830" y="35459193"/>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11</xdr:col>
      <xdr:colOff>150017</xdr:colOff>
      <xdr:row>134</xdr:row>
      <xdr:rowOff>147637</xdr:rowOff>
    </xdr:from>
    <xdr:to>
      <xdr:col>11</xdr:col>
      <xdr:colOff>709612</xdr:colOff>
      <xdr:row>136</xdr:row>
      <xdr:rowOff>66674</xdr:rowOff>
    </xdr:to>
    <xdr:sp macro="" textlink="">
      <xdr:nvSpPr>
        <xdr:cNvPr id="48" name="Es igual a 47">
          <a:extLst>
            <a:ext uri="{FF2B5EF4-FFF2-40B4-BE49-F238E27FC236}">
              <a16:creationId xmlns:a16="http://schemas.microsoft.com/office/drawing/2014/main" id="{2CE80506-C8D9-4302-80C3-1968B5DF9295}"/>
            </a:ext>
          </a:extLst>
        </xdr:cNvPr>
        <xdr:cNvSpPr/>
      </xdr:nvSpPr>
      <xdr:spPr>
        <a:xfrm>
          <a:off x="10446542" y="36266437"/>
          <a:ext cx="559595" cy="309562"/>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13</xdr:col>
      <xdr:colOff>0</xdr:colOff>
      <xdr:row>129</xdr:row>
      <xdr:rowOff>130967</xdr:rowOff>
    </xdr:from>
    <xdr:to>
      <xdr:col>14</xdr:col>
      <xdr:colOff>338139</xdr:colOff>
      <xdr:row>133</xdr:row>
      <xdr:rowOff>178592</xdr:rowOff>
    </xdr:to>
    <xdr:sp macro="" textlink="">
      <xdr:nvSpPr>
        <xdr:cNvPr id="49" name="CuadroTexto 48">
          <a:extLst>
            <a:ext uri="{FF2B5EF4-FFF2-40B4-BE49-F238E27FC236}">
              <a16:creationId xmlns:a16="http://schemas.microsoft.com/office/drawing/2014/main" id="{7AF93059-A542-42C7-B3D8-89EB636F190E}"/>
            </a:ext>
          </a:extLst>
        </xdr:cNvPr>
        <xdr:cNvSpPr txBox="1"/>
      </xdr:nvSpPr>
      <xdr:spPr>
        <a:xfrm>
          <a:off x="12106275" y="35297267"/>
          <a:ext cx="130968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impactos ambientales directos es:</a:t>
          </a:r>
          <a:endParaRPr lang="es-CO" sz="1100" b="1">
            <a:latin typeface="Calibri" panose="020F0502020204030204" pitchFamily="34" charset="0"/>
            <a:cs typeface="Calibri" panose="020F0502020204030204" pitchFamily="34" charset="0"/>
          </a:endParaRPr>
        </a:p>
      </xdr:txBody>
    </xdr:sp>
    <xdr:clientData/>
  </xdr:twoCellAnchor>
  <xdr:twoCellAnchor>
    <xdr:from>
      <xdr:col>13</xdr:col>
      <xdr:colOff>256981</xdr:colOff>
      <xdr:row>133</xdr:row>
      <xdr:rowOff>128729</xdr:rowOff>
    </xdr:from>
    <xdr:to>
      <xdr:col>13</xdr:col>
      <xdr:colOff>517865</xdr:colOff>
      <xdr:row>135</xdr:row>
      <xdr:rowOff>17979</xdr:rowOff>
    </xdr:to>
    <xdr:sp macro="" textlink="">
      <xdr:nvSpPr>
        <xdr:cNvPr id="50" name="Flecha: a la derecha 49">
          <a:extLst>
            <a:ext uri="{FF2B5EF4-FFF2-40B4-BE49-F238E27FC236}">
              <a16:creationId xmlns:a16="http://schemas.microsoft.com/office/drawing/2014/main" id="{13C46806-AE0A-4073-B6D7-137B2C38EDE5}"/>
            </a:ext>
          </a:extLst>
        </xdr:cNvPr>
        <xdr:cNvSpPr/>
      </xdr:nvSpPr>
      <xdr:spPr>
        <a:xfrm rot="5400000">
          <a:off x="12358573" y="3606171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250031</xdr:colOff>
      <xdr:row>77</xdr:row>
      <xdr:rowOff>119063</xdr:rowOff>
    </xdr:from>
    <xdr:to>
      <xdr:col>13</xdr:col>
      <xdr:colOff>510915</xdr:colOff>
      <xdr:row>79</xdr:row>
      <xdr:rowOff>8313</xdr:rowOff>
    </xdr:to>
    <xdr:sp macro="" textlink="">
      <xdr:nvSpPr>
        <xdr:cNvPr id="51" name="Flecha: a la derecha 50">
          <a:extLst>
            <a:ext uri="{FF2B5EF4-FFF2-40B4-BE49-F238E27FC236}">
              <a16:creationId xmlns:a16="http://schemas.microsoft.com/office/drawing/2014/main" id="{D2F7B0E0-C06B-447B-9D4A-0D16CAECC9CF}"/>
            </a:ext>
          </a:extLst>
        </xdr:cNvPr>
        <xdr:cNvSpPr/>
      </xdr:nvSpPr>
      <xdr:spPr>
        <a:xfrm rot="5400000">
          <a:off x="12351623" y="17821196"/>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678656</xdr:colOff>
      <xdr:row>154</xdr:row>
      <xdr:rowOff>154784</xdr:rowOff>
    </xdr:from>
    <xdr:to>
      <xdr:col>3</xdr:col>
      <xdr:colOff>380998</xdr:colOff>
      <xdr:row>156</xdr:row>
      <xdr:rowOff>83347</xdr:rowOff>
    </xdr:to>
    <xdr:sp macro="" textlink="">
      <xdr:nvSpPr>
        <xdr:cNvPr id="52" name="CuadroTexto 51">
          <a:extLst>
            <a:ext uri="{FF2B5EF4-FFF2-40B4-BE49-F238E27FC236}">
              <a16:creationId xmlns:a16="http://schemas.microsoft.com/office/drawing/2014/main" id="{B6202933-59CD-4533-B238-49583129C37D}"/>
            </a:ext>
          </a:extLst>
        </xdr:cNvPr>
        <xdr:cNvSpPr txBox="1"/>
      </xdr:nvSpPr>
      <xdr:spPr>
        <a:xfrm>
          <a:off x="1888331" y="41740934"/>
          <a:ext cx="1140617"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0</xdr:col>
      <xdr:colOff>154781</xdr:colOff>
      <xdr:row>153</xdr:row>
      <xdr:rowOff>11906</xdr:rowOff>
    </xdr:from>
    <xdr:to>
      <xdr:col>4</xdr:col>
      <xdr:colOff>1154906</xdr:colOff>
      <xdr:row>155</xdr:row>
      <xdr:rowOff>32619</xdr:rowOff>
    </xdr:to>
    <xdr:sp macro="" textlink="">
      <xdr:nvSpPr>
        <xdr:cNvPr id="53" name="Abrir llave 52">
          <a:extLst>
            <a:ext uri="{FF2B5EF4-FFF2-40B4-BE49-F238E27FC236}">
              <a16:creationId xmlns:a16="http://schemas.microsoft.com/office/drawing/2014/main" id="{23624391-043F-4E3A-AC5F-B5C4D5E34D3B}"/>
            </a:ext>
          </a:extLst>
        </xdr:cNvPr>
        <xdr:cNvSpPr/>
      </xdr:nvSpPr>
      <xdr:spPr>
        <a:xfrm rot="5400000" flipH="1">
          <a:off x="2330412" y="39231925"/>
          <a:ext cx="401713" cy="475297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8</xdr:col>
      <xdr:colOff>0</xdr:colOff>
      <xdr:row>152</xdr:row>
      <xdr:rowOff>735805</xdr:rowOff>
    </xdr:from>
    <xdr:to>
      <xdr:col>9</xdr:col>
      <xdr:colOff>104776</xdr:colOff>
      <xdr:row>154</xdr:row>
      <xdr:rowOff>161206</xdr:rowOff>
    </xdr:to>
    <xdr:sp macro="" textlink="">
      <xdr:nvSpPr>
        <xdr:cNvPr id="54" name="Abrir llave 53">
          <a:extLst>
            <a:ext uri="{FF2B5EF4-FFF2-40B4-BE49-F238E27FC236}">
              <a16:creationId xmlns:a16="http://schemas.microsoft.com/office/drawing/2014/main" id="{60740B23-01A9-4C1B-B0BE-A092C61CA2FC}"/>
            </a:ext>
          </a:extLst>
        </xdr:cNvPr>
        <xdr:cNvSpPr/>
      </xdr:nvSpPr>
      <xdr:spPr>
        <a:xfrm rot="5400000" flipH="1">
          <a:off x="7812050" y="41044055"/>
          <a:ext cx="406476" cy="1000126"/>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8</xdr:col>
      <xdr:colOff>307181</xdr:colOff>
      <xdr:row>154</xdr:row>
      <xdr:rowOff>164310</xdr:rowOff>
    </xdr:from>
    <xdr:to>
      <xdr:col>8</xdr:col>
      <xdr:colOff>795336</xdr:colOff>
      <xdr:row>156</xdr:row>
      <xdr:rowOff>92873</xdr:rowOff>
    </xdr:to>
    <xdr:sp macro="" textlink="">
      <xdr:nvSpPr>
        <xdr:cNvPr id="55" name="CuadroTexto 54">
          <a:extLst>
            <a:ext uri="{FF2B5EF4-FFF2-40B4-BE49-F238E27FC236}">
              <a16:creationId xmlns:a16="http://schemas.microsoft.com/office/drawing/2014/main" id="{9BFE8384-BC8E-4C84-A5E0-2A8E84DC1803}"/>
            </a:ext>
          </a:extLst>
        </xdr:cNvPr>
        <xdr:cNvSpPr txBox="1"/>
      </xdr:nvSpPr>
      <xdr:spPr>
        <a:xfrm>
          <a:off x="7822406" y="41750460"/>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10</xdr:col>
      <xdr:colOff>747713</xdr:colOff>
      <xdr:row>152</xdr:row>
      <xdr:rowOff>769143</xdr:rowOff>
    </xdr:from>
    <xdr:to>
      <xdr:col>12</xdr:col>
      <xdr:colOff>102394</xdr:colOff>
      <xdr:row>155</xdr:row>
      <xdr:rowOff>4044</xdr:rowOff>
    </xdr:to>
    <xdr:sp macro="" textlink="">
      <xdr:nvSpPr>
        <xdr:cNvPr id="56" name="Abrir llave 55">
          <a:extLst>
            <a:ext uri="{FF2B5EF4-FFF2-40B4-BE49-F238E27FC236}">
              <a16:creationId xmlns:a16="http://schemas.microsoft.com/office/drawing/2014/main" id="{57E0414F-BA58-4956-814D-30E06E60A5A7}"/>
            </a:ext>
          </a:extLst>
        </xdr:cNvPr>
        <xdr:cNvSpPr/>
      </xdr:nvSpPr>
      <xdr:spPr>
        <a:xfrm rot="5400000" flipH="1">
          <a:off x="10480241" y="40957140"/>
          <a:ext cx="406476" cy="1240631"/>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11</xdr:col>
      <xdr:colOff>173831</xdr:colOff>
      <xdr:row>155</xdr:row>
      <xdr:rowOff>7148</xdr:rowOff>
    </xdr:from>
    <xdr:to>
      <xdr:col>11</xdr:col>
      <xdr:colOff>661986</xdr:colOff>
      <xdr:row>156</xdr:row>
      <xdr:rowOff>126211</xdr:rowOff>
    </xdr:to>
    <xdr:sp macro="" textlink="">
      <xdr:nvSpPr>
        <xdr:cNvPr id="57" name="CuadroTexto 56">
          <a:extLst>
            <a:ext uri="{FF2B5EF4-FFF2-40B4-BE49-F238E27FC236}">
              <a16:creationId xmlns:a16="http://schemas.microsoft.com/office/drawing/2014/main" id="{24390528-3E3A-4434-A578-086D584CF698}"/>
            </a:ext>
          </a:extLst>
        </xdr:cNvPr>
        <xdr:cNvSpPr txBox="1"/>
      </xdr:nvSpPr>
      <xdr:spPr>
        <a:xfrm>
          <a:off x="10470356" y="41783798"/>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13</xdr:col>
      <xdr:colOff>90487</xdr:colOff>
      <xdr:row>152</xdr:row>
      <xdr:rowOff>695324</xdr:rowOff>
    </xdr:from>
    <xdr:to>
      <xdr:col>14</xdr:col>
      <xdr:colOff>111919</xdr:colOff>
      <xdr:row>154</xdr:row>
      <xdr:rowOff>120725</xdr:rowOff>
    </xdr:to>
    <xdr:sp macro="" textlink="">
      <xdr:nvSpPr>
        <xdr:cNvPr id="58" name="Abrir llave 57">
          <a:extLst>
            <a:ext uri="{FF2B5EF4-FFF2-40B4-BE49-F238E27FC236}">
              <a16:creationId xmlns:a16="http://schemas.microsoft.com/office/drawing/2014/main" id="{BF18D5D6-967E-41FD-9C35-344FB65FA7F6}"/>
            </a:ext>
          </a:extLst>
        </xdr:cNvPr>
        <xdr:cNvSpPr/>
      </xdr:nvSpPr>
      <xdr:spPr>
        <a:xfrm rot="5400000" flipH="1">
          <a:off x="12490015" y="41007146"/>
          <a:ext cx="406476" cy="99298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13</xdr:col>
      <xdr:colOff>397668</xdr:colOff>
      <xdr:row>154</xdr:row>
      <xdr:rowOff>123829</xdr:rowOff>
    </xdr:from>
    <xdr:to>
      <xdr:col>13</xdr:col>
      <xdr:colOff>885823</xdr:colOff>
      <xdr:row>156</xdr:row>
      <xdr:rowOff>52392</xdr:rowOff>
    </xdr:to>
    <xdr:sp macro="" textlink="">
      <xdr:nvSpPr>
        <xdr:cNvPr id="59" name="CuadroTexto 58">
          <a:extLst>
            <a:ext uri="{FF2B5EF4-FFF2-40B4-BE49-F238E27FC236}">
              <a16:creationId xmlns:a16="http://schemas.microsoft.com/office/drawing/2014/main" id="{254CA250-5701-4E00-8477-677D8617D5BF}"/>
            </a:ext>
          </a:extLst>
        </xdr:cNvPr>
        <xdr:cNvSpPr txBox="1"/>
      </xdr:nvSpPr>
      <xdr:spPr>
        <a:xfrm>
          <a:off x="12503943" y="41709979"/>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14</xdr:col>
      <xdr:colOff>190500</xdr:colOff>
      <xdr:row>151</xdr:row>
      <xdr:rowOff>214313</xdr:rowOff>
    </xdr:from>
    <xdr:to>
      <xdr:col>15</xdr:col>
      <xdr:colOff>26194</xdr:colOff>
      <xdr:row>152</xdr:row>
      <xdr:rowOff>52387</xdr:rowOff>
    </xdr:to>
    <xdr:sp macro="" textlink="">
      <xdr:nvSpPr>
        <xdr:cNvPr id="60" name="Flecha: a la derecha 59">
          <a:extLst>
            <a:ext uri="{FF2B5EF4-FFF2-40B4-BE49-F238E27FC236}">
              <a16:creationId xmlns:a16="http://schemas.microsoft.com/office/drawing/2014/main" id="{9F0E00DA-AB2C-4A44-AD26-C5E29347E71A}"/>
            </a:ext>
          </a:extLst>
        </xdr:cNvPr>
        <xdr:cNvSpPr/>
      </xdr:nvSpPr>
      <xdr:spPr>
        <a:xfrm>
          <a:off x="13268325" y="40266938"/>
          <a:ext cx="673894" cy="39052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154780</xdr:colOff>
      <xdr:row>160</xdr:row>
      <xdr:rowOff>164306</xdr:rowOff>
    </xdr:from>
    <xdr:to>
      <xdr:col>6</xdr:col>
      <xdr:colOff>714375</xdr:colOff>
      <xdr:row>162</xdr:row>
      <xdr:rowOff>95249</xdr:rowOff>
    </xdr:to>
    <xdr:sp macro="" textlink="">
      <xdr:nvSpPr>
        <xdr:cNvPr id="61" name="Es igual a 60">
          <a:extLst>
            <a:ext uri="{FF2B5EF4-FFF2-40B4-BE49-F238E27FC236}">
              <a16:creationId xmlns:a16="http://schemas.microsoft.com/office/drawing/2014/main" id="{217BD9B6-D87E-47B6-9154-B33F301E374E}"/>
            </a:ext>
          </a:extLst>
        </xdr:cNvPr>
        <xdr:cNvSpPr/>
      </xdr:nvSpPr>
      <xdr:spPr>
        <a:xfrm>
          <a:off x="6069805" y="42893456"/>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164305</xdr:colOff>
      <xdr:row>158</xdr:row>
      <xdr:rowOff>102393</xdr:rowOff>
    </xdr:from>
    <xdr:to>
      <xdr:col>6</xdr:col>
      <xdr:colOff>723900</xdr:colOff>
      <xdr:row>160</xdr:row>
      <xdr:rowOff>33336</xdr:rowOff>
    </xdr:to>
    <xdr:sp macro="" textlink="">
      <xdr:nvSpPr>
        <xdr:cNvPr id="62" name="Es igual a 61">
          <a:extLst>
            <a:ext uri="{FF2B5EF4-FFF2-40B4-BE49-F238E27FC236}">
              <a16:creationId xmlns:a16="http://schemas.microsoft.com/office/drawing/2014/main" id="{EACA1891-9EA6-4C2E-91D6-773C5DC78738}"/>
            </a:ext>
          </a:extLst>
        </xdr:cNvPr>
        <xdr:cNvSpPr/>
      </xdr:nvSpPr>
      <xdr:spPr>
        <a:xfrm>
          <a:off x="6079330" y="42450543"/>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150017</xdr:colOff>
      <xdr:row>162</xdr:row>
      <xdr:rowOff>147637</xdr:rowOff>
    </xdr:from>
    <xdr:to>
      <xdr:col>6</xdr:col>
      <xdr:colOff>709612</xdr:colOff>
      <xdr:row>164</xdr:row>
      <xdr:rowOff>66674</xdr:rowOff>
    </xdr:to>
    <xdr:sp macro="" textlink="">
      <xdr:nvSpPr>
        <xdr:cNvPr id="63" name="Es igual a 62">
          <a:extLst>
            <a:ext uri="{FF2B5EF4-FFF2-40B4-BE49-F238E27FC236}">
              <a16:creationId xmlns:a16="http://schemas.microsoft.com/office/drawing/2014/main" id="{630E914F-3DD2-4121-8857-0D314C689ED3}"/>
            </a:ext>
          </a:extLst>
        </xdr:cNvPr>
        <xdr:cNvSpPr/>
      </xdr:nvSpPr>
      <xdr:spPr>
        <a:xfrm>
          <a:off x="6065042" y="43257787"/>
          <a:ext cx="559595" cy="3000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0</xdr:colOff>
      <xdr:row>157</xdr:row>
      <xdr:rowOff>130967</xdr:rowOff>
    </xdr:from>
    <xdr:to>
      <xdr:col>9</xdr:col>
      <xdr:colOff>338139</xdr:colOff>
      <xdr:row>161</xdr:row>
      <xdr:rowOff>178592</xdr:rowOff>
    </xdr:to>
    <xdr:sp macro="" textlink="">
      <xdr:nvSpPr>
        <xdr:cNvPr id="64" name="CuadroTexto 63">
          <a:extLst>
            <a:ext uri="{FF2B5EF4-FFF2-40B4-BE49-F238E27FC236}">
              <a16:creationId xmlns:a16="http://schemas.microsoft.com/office/drawing/2014/main" id="{B1FADB75-3868-4569-846B-E8C2D9836823}"/>
            </a:ext>
          </a:extLst>
        </xdr:cNvPr>
        <xdr:cNvSpPr txBox="1"/>
      </xdr:nvSpPr>
      <xdr:spPr>
        <a:xfrm>
          <a:off x="7515225" y="42288617"/>
          <a:ext cx="123348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contexto empresarial </a:t>
          </a:r>
        </a:p>
        <a:p>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8</xdr:col>
      <xdr:colOff>256981</xdr:colOff>
      <xdr:row>161</xdr:row>
      <xdr:rowOff>128729</xdr:rowOff>
    </xdr:from>
    <xdr:to>
      <xdr:col>8</xdr:col>
      <xdr:colOff>517865</xdr:colOff>
      <xdr:row>163</xdr:row>
      <xdr:rowOff>17979</xdr:rowOff>
    </xdr:to>
    <xdr:sp macro="" textlink="">
      <xdr:nvSpPr>
        <xdr:cNvPr id="65" name="Flecha: a la derecha 64">
          <a:extLst>
            <a:ext uri="{FF2B5EF4-FFF2-40B4-BE49-F238E27FC236}">
              <a16:creationId xmlns:a16="http://schemas.microsoft.com/office/drawing/2014/main" id="{040FBD87-F78D-4630-823D-BEEC3CBC36B4}"/>
            </a:ext>
          </a:extLst>
        </xdr:cNvPr>
        <xdr:cNvSpPr/>
      </xdr:nvSpPr>
      <xdr:spPr>
        <a:xfrm rot="5400000">
          <a:off x="7767523" y="4305306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333375</xdr:colOff>
      <xdr:row>177</xdr:row>
      <xdr:rowOff>133353</xdr:rowOff>
    </xdr:from>
    <xdr:to>
      <xdr:col>4</xdr:col>
      <xdr:colOff>1139502</xdr:colOff>
      <xdr:row>179</xdr:row>
      <xdr:rowOff>59530</xdr:rowOff>
    </xdr:to>
    <xdr:sp macro="" textlink="">
      <xdr:nvSpPr>
        <xdr:cNvPr id="66" name="CuadroTexto 65">
          <a:extLst>
            <a:ext uri="{FF2B5EF4-FFF2-40B4-BE49-F238E27FC236}">
              <a16:creationId xmlns:a16="http://schemas.microsoft.com/office/drawing/2014/main" id="{88EBB9E8-1FA1-40FD-96E7-B782A48F6FBE}"/>
            </a:ext>
          </a:extLst>
        </xdr:cNvPr>
        <xdr:cNvSpPr txBox="1"/>
      </xdr:nvSpPr>
      <xdr:spPr>
        <a:xfrm>
          <a:off x="4086225" y="46910628"/>
          <a:ext cx="806127" cy="3071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0</xdr:colOff>
      <xdr:row>175</xdr:row>
      <xdr:rowOff>121444</xdr:rowOff>
    </xdr:from>
    <xdr:to>
      <xdr:col>8</xdr:col>
      <xdr:colOff>-1</xdr:colOff>
      <xdr:row>177</xdr:row>
      <xdr:rowOff>142157</xdr:rowOff>
    </xdr:to>
    <xdr:sp macro="" textlink="">
      <xdr:nvSpPr>
        <xdr:cNvPr id="67" name="Abrir llave 66">
          <a:extLst>
            <a:ext uri="{FF2B5EF4-FFF2-40B4-BE49-F238E27FC236}">
              <a16:creationId xmlns:a16="http://schemas.microsoft.com/office/drawing/2014/main" id="{B197970C-4414-4418-9E25-B4889D012550}"/>
            </a:ext>
          </a:extLst>
        </xdr:cNvPr>
        <xdr:cNvSpPr/>
      </xdr:nvSpPr>
      <xdr:spPr>
        <a:xfrm rot="5400000" flipH="1">
          <a:off x="3666293" y="43070501"/>
          <a:ext cx="401713" cy="7296149"/>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35720</xdr:colOff>
      <xdr:row>174</xdr:row>
      <xdr:rowOff>142874</xdr:rowOff>
    </xdr:from>
    <xdr:to>
      <xdr:col>15</xdr:col>
      <xdr:colOff>23812</xdr:colOff>
      <xdr:row>176</xdr:row>
      <xdr:rowOff>163587</xdr:rowOff>
    </xdr:to>
    <xdr:sp macro="" textlink="">
      <xdr:nvSpPr>
        <xdr:cNvPr id="68" name="Abrir llave 67">
          <a:extLst>
            <a:ext uri="{FF2B5EF4-FFF2-40B4-BE49-F238E27FC236}">
              <a16:creationId xmlns:a16="http://schemas.microsoft.com/office/drawing/2014/main" id="{46A6EED1-A39F-4862-ADF5-851AD1323B02}"/>
            </a:ext>
          </a:extLst>
        </xdr:cNvPr>
        <xdr:cNvSpPr/>
      </xdr:nvSpPr>
      <xdr:spPr>
        <a:xfrm rot="5400000" flipH="1">
          <a:off x="13325834" y="46136360"/>
          <a:ext cx="401713" cy="82629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259557</xdr:colOff>
      <xdr:row>176</xdr:row>
      <xdr:rowOff>178593</xdr:rowOff>
    </xdr:from>
    <xdr:to>
      <xdr:col>14</xdr:col>
      <xdr:colOff>714374</xdr:colOff>
      <xdr:row>178</xdr:row>
      <xdr:rowOff>154781</xdr:rowOff>
    </xdr:to>
    <xdr:sp macro="" textlink="">
      <xdr:nvSpPr>
        <xdr:cNvPr id="69" name="CuadroTexto 68">
          <a:extLst>
            <a:ext uri="{FF2B5EF4-FFF2-40B4-BE49-F238E27FC236}">
              <a16:creationId xmlns:a16="http://schemas.microsoft.com/office/drawing/2014/main" id="{62C3CBB6-8245-45B4-8B39-915017FDDAE6}"/>
            </a:ext>
          </a:extLst>
        </xdr:cNvPr>
        <xdr:cNvSpPr txBox="1"/>
      </xdr:nvSpPr>
      <xdr:spPr>
        <a:xfrm>
          <a:off x="13337382" y="46765368"/>
          <a:ext cx="454817" cy="357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16</xdr:col>
      <xdr:colOff>107156</xdr:colOff>
      <xdr:row>174</xdr:row>
      <xdr:rowOff>61914</xdr:rowOff>
    </xdr:from>
    <xdr:to>
      <xdr:col>16</xdr:col>
      <xdr:colOff>759618</xdr:colOff>
      <xdr:row>176</xdr:row>
      <xdr:rowOff>82627</xdr:rowOff>
    </xdr:to>
    <xdr:sp macro="" textlink="">
      <xdr:nvSpPr>
        <xdr:cNvPr id="70" name="Abrir llave 69">
          <a:extLst>
            <a:ext uri="{FF2B5EF4-FFF2-40B4-BE49-F238E27FC236}">
              <a16:creationId xmlns:a16="http://schemas.microsoft.com/office/drawing/2014/main" id="{27EC161F-65AB-4230-8825-D973F6FBEBD2}"/>
            </a:ext>
          </a:extLst>
        </xdr:cNvPr>
        <xdr:cNvSpPr/>
      </xdr:nvSpPr>
      <xdr:spPr>
        <a:xfrm rot="5400000" flipH="1">
          <a:off x="14910555" y="46142315"/>
          <a:ext cx="401713" cy="65246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16</xdr:col>
      <xdr:colOff>247650</xdr:colOff>
      <xdr:row>176</xdr:row>
      <xdr:rowOff>109542</xdr:rowOff>
    </xdr:from>
    <xdr:to>
      <xdr:col>16</xdr:col>
      <xdr:colOff>735805</xdr:colOff>
      <xdr:row>178</xdr:row>
      <xdr:rowOff>38105</xdr:rowOff>
    </xdr:to>
    <xdr:sp macro="" textlink="">
      <xdr:nvSpPr>
        <xdr:cNvPr id="71" name="CuadroTexto 70">
          <a:extLst>
            <a:ext uri="{FF2B5EF4-FFF2-40B4-BE49-F238E27FC236}">
              <a16:creationId xmlns:a16="http://schemas.microsoft.com/office/drawing/2014/main" id="{EB43CC70-6343-4373-B82B-375C1C8D7B53}"/>
            </a:ext>
          </a:extLst>
        </xdr:cNvPr>
        <xdr:cNvSpPr txBox="1"/>
      </xdr:nvSpPr>
      <xdr:spPr>
        <a:xfrm>
          <a:off x="14925675" y="46696317"/>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17</xdr:col>
      <xdr:colOff>92868</xdr:colOff>
      <xdr:row>174</xdr:row>
      <xdr:rowOff>23812</xdr:rowOff>
    </xdr:from>
    <xdr:to>
      <xdr:col>18</xdr:col>
      <xdr:colOff>0</xdr:colOff>
      <xdr:row>176</xdr:row>
      <xdr:rowOff>44525</xdr:rowOff>
    </xdr:to>
    <xdr:sp macro="" textlink="">
      <xdr:nvSpPr>
        <xdr:cNvPr id="72" name="Abrir llave 71">
          <a:extLst>
            <a:ext uri="{FF2B5EF4-FFF2-40B4-BE49-F238E27FC236}">
              <a16:creationId xmlns:a16="http://schemas.microsoft.com/office/drawing/2014/main" id="{864FB903-18FF-48D8-9E70-7843E53750CA}"/>
            </a:ext>
          </a:extLst>
        </xdr:cNvPr>
        <xdr:cNvSpPr/>
      </xdr:nvSpPr>
      <xdr:spPr>
        <a:xfrm rot="5400000" flipH="1">
          <a:off x="15666602" y="46095878"/>
          <a:ext cx="401713" cy="66913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17</xdr:col>
      <xdr:colOff>233361</xdr:colOff>
      <xdr:row>176</xdr:row>
      <xdr:rowOff>95255</xdr:rowOff>
    </xdr:from>
    <xdr:to>
      <xdr:col>17</xdr:col>
      <xdr:colOff>721516</xdr:colOff>
      <xdr:row>178</xdr:row>
      <xdr:rowOff>23818</xdr:rowOff>
    </xdr:to>
    <xdr:sp macro="" textlink="">
      <xdr:nvSpPr>
        <xdr:cNvPr id="73" name="CuadroTexto 72">
          <a:extLst>
            <a:ext uri="{FF2B5EF4-FFF2-40B4-BE49-F238E27FC236}">
              <a16:creationId xmlns:a16="http://schemas.microsoft.com/office/drawing/2014/main" id="{DCBAB5B9-D0B3-4FE9-9A16-B6E2B2B3A451}"/>
            </a:ext>
          </a:extLst>
        </xdr:cNvPr>
        <xdr:cNvSpPr txBox="1"/>
      </xdr:nvSpPr>
      <xdr:spPr>
        <a:xfrm>
          <a:off x="15673386" y="46682030"/>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2</xdr:col>
      <xdr:colOff>392907</xdr:colOff>
      <xdr:row>181</xdr:row>
      <xdr:rowOff>119063</xdr:rowOff>
    </xdr:from>
    <xdr:to>
      <xdr:col>3</xdr:col>
      <xdr:colOff>228601</xdr:colOff>
      <xdr:row>183</xdr:row>
      <xdr:rowOff>171451</xdr:rowOff>
    </xdr:to>
    <xdr:sp macro="" textlink="">
      <xdr:nvSpPr>
        <xdr:cNvPr id="74" name="Flecha: a la derecha 73">
          <a:extLst>
            <a:ext uri="{FF2B5EF4-FFF2-40B4-BE49-F238E27FC236}">
              <a16:creationId xmlns:a16="http://schemas.microsoft.com/office/drawing/2014/main" id="{1C6D6279-25CD-4D46-B53D-2CEA50BC5572}"/>
            </a:ext>
          </a:extLst>
        </xdr:cNvPr>
        <xdr:cNvSpPr/>
      </xdr:nvSpPr>
      <xdr:spPr>
        <a:xfrm flipV="1">
          <a:off x="1602582" y="47658338"/>
          <a:ext cx="1273969" cy="442913"/>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154780</xdr:colOff>
      <xdr:row>182</xdr:row>
      <xdr:rowOff>164306</xdr:rowOff>
    </xdr:from>
    <xdr:to>
      <xdr:col>9</xdr:col>
      <xdr:colOff>714375</xdr:colOff>
      <xdr:row>184</xdr:row>
      <xdr:rowOff>95249</xdr:rowOff>
    </xdr:to>
    <xdr:sp macro="" textlink="">
      <xdr:nvSpPr>
        <xdr:cNvPr id="75" name="Es igual a 74">
          <a:extLst>
            <a:ext uri="{FF2B5EF4-FFF2-40B4-BE49-F238E27FC236}">
              <a16:creationId xmlns:a16="http://schemas.microsoft.com/office/drawing/2014/main" id="{1EEDCD44-924F-4BFF-8B22-6C0005945673}"/>
            </a:ext>
          </a:extLst>
        </xdr:cNvPr>
        <xdr:cNvSpPr/>
      </xdr:nvSpPr>
      <xdr:spPr>
        <a:xfrm>
          <a:off x="8565355" y="47894081"/>
          <a:ext cx="559595" cy="321468"/>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164305</xdr:colOff>
      <xdr:row>180</xdr:row>
      <xdr:rowOff>102393</xdr:rowOff>
    </xdr:from>
    <xdr:to>
      <xdr:col>9</xdr:col>
      <xdr:colOff>723900</xdr:colOff>
      <xdr:row>182</xdr:row>
      <xdr:rowOff>33336</xdr:rowOff>
    </xdr:to>
    <xdr:sp macro="" textlink="">
      <xdr:nvSpPr>
        <xdr:cNvPr id="76" name="Es igual a 75">
          <a:extLst>
            <a:ext uri="{FF2B5EF4-FFF2-40B4-BE49-F238E27FC236}">
              <a16:creationId xmlns:a16="http://schemas.microsoft.com/office/drawing/2014/main" id="{A902DCA8-61D6-4448-AF05-887273A8DD87}"/>
            </a:ext>
          </a:extLst>
        </xdr:cNvPr>
        <xdr:cNvSpPr/>
      </xdr:nvSpPr>
      <xdr:spPr>
        <a:xfrm>
          <a:off x="8574880" y="47451168"/>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150017</xdr:colOff>
      <xdr:row>184</xdr:row>
      <xdr:rowOff>147637</xdr:rowOff>
    </xdr:from>
    <xdr:to>
      <xdr:col>9</xdr:col>
      <xdr:colOff>709612</xdr:colOff>
      <xdr:row>186</xdr:row>
      <xdr:rowOff>66674</xdr:rowOff>
    </xdr:to>
    <xdr:sp macro="" textlink="">
      <xdr:nvSpPr>
        <xdr:cNvPr id="77" name="Es igual a 76">
          <a:extLst>
            <a:ext uri="{FF2B5EF4-FFF2-40B4-BE49-F238E27FC236}">
              <a16:creationId xmlns:a16="http://schemas.microsoft.com/office/drawing/2014/main" id="{ED1DD09B-046F-4114-B963-E2F6195CF511}"/>
            </a:ext>
          </a:extLst>
        </xdr:cNvPr>
        <xdr:cNvSpPr/>
      </xdr:nvSpPr>
      <xdr:spPr>
        <a:xfrm>
          <a:off x="8560592" y="48267937"/>
          <a:ext cx="559595" cy="3000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11</xdr:col>
      <xdr:colOff>0</xdr:colOff>
      <xdr:row>179</xdr:row>
      <xdr:rowOff>130967</xdr:rowOff>
    </xdr:from>
    <xdr:to>
      <xdr:col>12</xdr:col>
      <xdr:colOff>338139</xdr:colOff>
      <xdr:row>183</xdr:row>
      <xdr:rowOff>178592</xdr:rowOff>
    </xdr:to>
    <xdr:sp macro="" textlink="">
      <xdr:nvSpPr>
        <xdr:cNvPr id="78" name="CuadroTexto 77">
          <a:extLst>
            <a:ext uri="{FF2B5EF4-FFF2-40B4-BE49-F238E27FC236}">
              <a16:creationId xmlns:a16="http://schemas.microsoft.com/office/drawing/2014/main" id="{3E320209-9779-45AE-87EE-045EBA9AD8AD}"/>
            </a:ext>
          </a:extLst>
        </xdr:cNvPr>
        <xdr:cNvSpPr txBox="1"/>
      </xdr:nvSpPr>
      <xdr:spPr>
        <a:xfrm>
          <a:off x="10296525" y="47289242"/>
          <a:ext cx="1243014"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eficiencia y efectividad </a:t>
          </a:r>
        </a:p>
        <a:p>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11</xdr:col>
      <xdr:colOff>256981</xdr:colOff>
      <xdr:row>183</xdr:row>
      <xdr:rowOff>128729</xdr:rowOff>
    </xdr:from>
    <xdr:to>
      <xdr:col>11</xdr:col>
      <xdr:colOff>517865</xdr:colOff>
      <xdr:row>185</xdr:row>
      <xdr:rowOff>17979</xdr:rowOff>
    </xdr:to>
    <xdr:sp macro="" textlink="">
      <xdr:nvSpPr>
        <xdr:cNvPr id="79" name="Flecha: a la derecha 78">
          <a:extLst>
            <a:ext uri="{FF2B5EF4-FFF2-40B4-BE49-F238E27FC236}">
              <a16:creationId xmlns:a16="http://schemas.microsoft.com/office/drawing/2014/main" id="{1751A3E4-2A21-40F1-8EDB-40BD3DD425E4}"/>
            </a:ext>
          </a:extLst>
        </xdr:cNvPr>
        <xdr:cNvSpPr/>
      </xdr:nvSpPr>
      <xdr:spPr>
        <a:xfrm rot="5400000">
          <a:off x="10548823" y="4806321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809626</xdr:colOff>
      <xdr:row>196</xdr:row>
      <xdr:rowOff>23814</xdr:rowOff>
    </xdr:from>
    <xdr:to>
      <xdr:col>4</xdr:col>
      <xdr:colOff>595312</xdr:colOff>
      <xdr:row>197</xdr:row>
      <xdr:rowOff>142877</xdr:rowOff>
    </xdr:to>
    <xdr:sp macro="" textlink="">
      <xdr:nvSpPr>
        <xdr:cNvPr id="80" name="CuadroTexto 79">
          <a:extLst>
            <a:ext uri="{FF2B5EF4-FFF2-40B4-BE49-F238E27FC236}">
              <a16:creationId xmlns:a16="http://schemas.microsoft.com/office/drawing/2014/main" id="{0ADA0BA9-1043-491A-8DA7-E0795C916D2D}"/>
            </a:ext>
          </a:extLst>
        </xdr:cNvPr>
        <xdr:cNvSpPr txBox="1"/>
      </xdr:nvSpPr>
      <xdr:spPr>
        <a:xfrm>
          <a:off x="3457576" y="51430239"/>
          <a:ext cx="890586"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952500</xdr:colOff>
      <xdr:row>194</xdr:row>
      <xdr:rowOff>23814</xdr:rowOff>
    </xdr:from>
    <xdr:to>
      <xdr:col>6</xdr:col>
      <xdr:colOff>11907</xdr:colOff>
      <xdr:row>196</xdr:row>
      <xdr:rowOff>44527</xdr:rowOff>
    </xdr:to>
    <xdr:sp macro="" textlink="">
      <xdr:nvSpPr>
        <xdr:cNvPr id="81" name="Abrir llave 80">
          <a:extLst>
            <a:ext uri="{FF2B5EF4-FFF2-40B4-BE49-F238E27FC236}">
              <a16:creationId xmlns:a16="http://schemas.microsoft.com/office/drawing/2014/main" id="{78BDE4D1-AF79-4449-A404-6D4B9B65FEE1}"/>
            </a:ext>
          </a:extLst>
        </xdr:cNvPr>
        <xdr:cNvSpPr/>
      </xdr:nvSpPr>
      <xdr:spPr>
        <a:xfrm rot="5400000" flipH="1">
          <a:off x="3348397" y="48872417"/>
          <a:ext cx="401713" cy="4755357"/>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9</xdr:col>
      <xdr:colOff>11904</xdr:colOff>
      <xdr:row>193</xdr:row>
      <xdr:rowOff>92866</xdr:rowOff>
    </xdr:from>
    <xdr:to>
      <xdr:col>10</xdr:col>
      <xdr:colOff>35717</xdr:colOff>
      <xdr:row>195</xdr:row>
      <xdr:rowOff>113579</xdr:rowOff>
    </xdr:to>
    <xdr:sp macro="" textlink="">
      <xdr:nvSpPr>
        <xdr:cNvPr id="82" name="Abrir llave 81">
          <a:extLst>
            <a:ext uri="{FF2B5EF4-FFF2-40B4-BE49-F238E27FC236}">
              <a16:creationId xmlns:a16="http://schemas.microsoft.com/office/drawing/2014/main" id="{D97EF4D9-9866-4738-9270-3118460247C1}"/>
            </a:ext>
          </a:extLst>
        </xdr:cNvPr>
        <xdr:cNvSpPr/>
      </xdr:nvSpPr>
      <xdr:spPr>
        <a:xfrm rot="5400000" flipH="1">
          <a:off x="8685966" y="50664304"/>
          <a:ext cx="401713" cy="928688"/>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9</xdr:col>
      <xdr:colOff>283369</xdr:colOff>
      <xdr:row>195</xdr:row>
      <xdr:rowOff>152403</xdr:rowOff>
    </xdr:from>
    <xdr:to>
      <xdr:col>9</xdr:col>
      <xdr:colOff>771524</xdr:colOff>
      <xdr:row>197</xdr:row>
      <xdr:rowOff>80966</xdr:rowOff>
    </xdr:to>
    <xdr:sp macro="" textlink="">
      <xdr:nvSpPr>
        <xdr:cNvPr id="83" name="CuadroTexto 82">
          <a:extLst>
            <a:ext uri="{FF2B5EF4-FFF2-40B4-BE49-F238E27FC236}">
              <a16:creationId xmlns:a16="http://schemas.microsoft.com/office/drawing/2014/main" id="{AB6EA16E-E310-4171-9829-6EC38476CFF7}"/>
            </a:ext>
          </a:extLst>
        </xdr:cNvPr>
        <xdr:cNvSpPr txBox="1"/>
      </xdr:nvSpPr>
      <xdr:spPr>
        <a:xfrm>
          <a:off x="8693944" y="51368328"/>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11</xdr:col>
      <xdr:colOff>795340</xdr:colOff>
      <xdr:row>193</xdr:row>
      <xdr:rowOff>90486</xdr:rowOff>
    </xdr:from>
    <xdr:to>
      <xdr:col>13</xdr:col>
      <xdr:colOff>107156</xdr:colOff>
      <xdr:row>195</xdr:row>
      <xdr:rowOff>111199</xdr:rowOff>
    </xdr:to>
    <xdr:sp macro="" textlink="">
      <xdr:nvSpPr>
        <xdr:cNvPr id="84" name="Abrir llave 83">
          <a:extLst>
            <a:ext uri="{FF2B5EF4-FFF2-40B4-BE49-F238E27FC236}">
              <a16:creationId xmlns:a16="http://schemas.microsoft.com/office/drawing/2014/main" id="{4F7038B6-6CAD-450E-9318-5B9D420BAE9B}"/>
            </a:ext>
          </a:extLst>
        </xdr:cNvPr>
        <xdr:cNvSpPr/>
      </xdr:nvSpPr>
      <xdr:spPr>
        <a:xfrm rot="5400000" flipH="1">
          <a:off x="11451791" y="50565485"/>
          <a:ext cx="401713" cy="1121566"/>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233363</xdr:colOff>
      <xdr:row>195</xdr:row>
      <xdr:rowOff>114304</xdr:rowOff>
    </xdr:from>
    <xdr:to>
      <xdr:col>12</xdr:col>
      <xdr:colOff>721518</xdr:colOff>
      <xdr:row>197</xdr:row>
      <xdr:rowOff>42867</xdr:rowOff>
    </xdr:to>
    <xdr:sp macro="" textlink="">
      <xdr:nvSpPr>
        <xdr:cNvPr id="85" name="CuadroTexto 84">
          <a:extLst>
            <a:ext uri="{FF2B5EF4-FFF2-40B4-BE49-F238E27FC236}">
              <a16:creationId xmlns:a16="http://schemas.microsoft.com/office/drawing/2014/main" id="{6BE7D4F9-A8D0-4725-ADA7-494641FFCA3F}"/>
            </a:ext>
          </a:extLst>
        </xdr:cNvPr>
        <xdr:cNvSpPr txBox="1"/>
      </xdr:nvSpPr>
      <xdr:spPr>
        <a:xfrm>
          <a:off x="11434763" y="51330229"/>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13</xdr:col>
      <xdr:colOff>947737</xdr:colOff>
      <xdr:row>193</xdr:row>
      <xdr:rowOff>52386</xdr:rowOff>
    </xdr:from>
    <xdr:to>
      <xdr:col>15</xdr:col>
      <xdr:colOff>135732</xdr:colOff>
      <xdr:row>195</xdr:row>
      <xdr:rowOff>73099</xdr:rowOff>
    </xdr:to>
    <xdr:sp macro="" textlink="">
      <xdr:nvSpPr>
        <xdr:cNvPr id="86" name="Abrir llave 85">
          <a:extLst>
            <a:ext uri="{FF2B5EF4-FFF2-40B4-BE49-F238E27FC236}">
              <a16:creationId xmlns:a16="http://schemas.microsoft.com/office/drawing/2014/main" id="{D857979B-3098-4D70-AAAE-427B7FE6FA1C}"/>
            </a:ext>
          </a:extLst>
        </xdr:cNvPr>
        <xdr:cNvSpPr/>
      </xdr:nvSpPr>
      <xdr:spPr>
        <a:xfrm rot="5400000" flipH="1">
          <a:off x="13352028" y="50589295"/>
          <a:ext cx="401713" cy="99774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266700</xdr:colOff>
      <xdr:row>195</xdr:row>
      <xdr:rowOff>76204</xdr:rowOff>
    </xdr:from>
    <xdr:to>
      <xdr:col>14</xdr:col>
      <xdr:colOff>754855</xdr:colOff>
      <xdr:row>197</xdr:row>
      <xdr:rowOff>4767</xdr:rowOff>
    </xdr:to>
    <xdr:sp macro="" textlink="">
      <xdr:nvSpPr>
        <xdr:cNvPr id="87" name="CuadroTexto 86">
          <a:extLst>
            <a:ext uri="{FF2B5EF4-FFF2-40B4-BE49-F238E27FC236}">
              <a16:creationId xmlns:a16="http://schemas.microsoft.com/office/drawing/2014/main" id="{23B02602-9A68-49FF-8EB5-F4CC60C43B17}"/>
            </a:ext>
          </a:extLst>
        </xdr:cNvPr>
        <xdr:cNvSpPr txBox="1"/>
      </xdr:nvSpPr>
      <xdr:spPr>
        <a:xfrm>
          <a:off x="13344525" y="51292129"/>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15</xdr:col>
      <xdr:colOff>190500</xdr:colOff>
      <xdr:row>192</xdr:row>
      <xdr:rowOff>214313</xdr:rowOff>
    </xdr:from>
    <xdr:to>
      <xdr:col>16</xdr:col>
      <xdr:colOff>26194</xdr:colOff>
      <xdr:row>193</xdr:row>
      <xdr:rowOff>52387</xdr:rowOff>
    </xdr:to>
    <xdr:sp macro="" textlink="">
      <xdr:nvSpPr>
        <xdr:cNvPr id="88" name="Flecha: a la derecha 87">
          <a:extLst>
            <a:ext uri="{FF2B5EF4-FFF2-40B4-BE49-F238E27FC236}">
              <a16:creationId xmlns:a16="http://schemas.microsoft.com/office/drawing/2014/main" id="{7324A4E1-77C4-42B2-A5BA-376ACAEDBF9D}"/>
            </a:ext>
          </a:extLst>
        </xdr:cNvPr>
        <xdr:cNvSpPr/>
      </xdr:nvSpPr>
      <xdr:spPr>
        <a:xfrm>
          <a:off x="14106525" y="50477738"/>
          <a:ext cx="597694" cy="40957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154780</xdr:colOff>
      <xdr:row>201</xdr:row>
      <xdr:rowOff>164306</xdr:rowOff>
    </xdr:from>
    <xdr:to>
      <xdr:col>6</xdr:col>
      <xdr:colOff>714375</xdr:colOff>
      <xdr:row>203</xdr:row>
      <xdr:rowOff>95249</xdr:rowOff>
    </xdr:to>
    <xdr:sp macro="" textlink="">
      <xdr:nvSpPr>
        <xdr:cNvPr id="89" name="Es igual a 88">
          <a:extLst>
            <a:ext uri="{FF2B5EF4-FFF2-40B4-BE49-F238E27FC236}">
              <a16:creationId xmlns:a16="http://schemas.microsoft.com/office/drawing/2014/main" id="{DCC31E7F-F7AB-4DA2-A1A4-DBACEF1C17BF}"/>
            </a:ext>
          </a:extLst>
        </xdr:cNvPr>
        <xdr:cNvSpPr/>
      </xdr:nvSpPr>
      <xdr:spPr>
        <a:xfrm>
          <a:off x="6069805" y="52523231"/>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164305</xdr:colOff>
      <xdr:row>199</xdr:row>
      <xdr:rowOff>102393</xdr:rowOff>
    </xdr:from>
    <xdr:to>
      <xdr:col>6</xdr:col>
      <xdr:colOff>723900</xdr:colOff>
      <xdr:row>201</xdr:row>
      <xdr:rowOff>33336</xdr:rowOff>
    </xdr:to>
    <xdr:sp macro="" textlink="">
      <xdr:nvSpPr>
        <xdr:cNvPr id="90" name="Es igual a 89">
          <a:extLst>
            <a:ext uri="{FF2B5EF4-FFF2-40B4-BE49-F238E27FC236}">
              <a16:creationId xmlns:a16="http://schemas.microsoft.com/office/drawing/2014/main" id="{521BEF11-E2CA-4FB6-9172-4186FE53DD87}"/>
            </a:ext>
          </a:extLst>
        </xdr:cNvPr>
        <xdr:cNvSpPr/>
      </xdr:nvSpPr>
      <xdr:spPr>
        <a:xfrm>
          <a:off x="6079330" y="52080318"/>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150017</xdr:colOff>
      <xdr:row>203</xdr:row>
      <xdr:rowOff>147637</xdr:rowOff>
    </xdr:from>
    <xdr:to>
      <xdr:col>6</xdr:col>
      <xdr:colOff>709612</xdr:colOff>
      <xdr:row>206</xdr:row>
      <xdr:rowOff>66674</xdr:rowOff>
    </xdr:to>
    <xdr:sp macro="" textlink="">
      <xdr:nvSpPr>
        <xdr:cNvPr id="91" name="Es igual a 90">
          <a:extLst>
            <a:ext uri="{FF2B5EF4-FFF2-40B4-BE49-F238E27FC236}">
              <a16:creationId xmlns:a16="http://schemas.microsoft.com/office/drawing/2014/main" id="{9128BD36-FE9F-4DAD-8482-18DC60239E0A}"/>
            </a:ext>
          </a:extLst>
        </xdr:cNvPr>
        <xdr:cNvSpPr/>
      </xdr:nvSpPr>
      <xdr:spPr>
        <a:xfrm>
          <a:off x="6065042" y="52887562"/>
          <a:ext cx="559595" cy="4905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0</xdr:colOff>
      <xdr:row>198</xdr:row>
      <xdr:rowOff>130967</xdr:rowOff>
    </xdr:from>
    <xdr:to>
      <xdr:col>9</xdr:col>
      <xdr:colOff>338139</xdr:colOff>
      <xdr:row>202</xdr:row>
      <xdr:rowOff>178592</xdr:rowOff>
    </xdr:to>
    <xdr:sp macro="" textlink="">
      <xdr:nvSpPr>
        <xdr:cNvPr id="92" name="CuadroTexto 91">
          <a:extLst>
            <a:ext uri="{FF2B5EF4-FFF2-40B4-BE49-F238E27FC236}">
              <a16:creationId xmlns:a16="http://schemas.microsoft.com/office/drawing/2014/main" id="{76680326-D245-45C0-A22A-D36D45A59273}"/>
            </a:ext>
          </a:extLst>
        </xdr:cNvPr>
        <xdr:cNvSpPr txBox="1"/>
      </xdr:nvSpPr>
      <xdr:spPr>
        <a:xfrm>
          <a:off x="7515225" y="51918392"/>
          <a:ext cx="123348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Normatividad y compativilidad </a:t>
          </a:r>
        </a:p>
        <a:p>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8</xdr:col>
      <xdr:colOff>256981</xdr:colOff>
      <xdr:row>202</xdr:row>
      <xdr:rowOff>128729</xdr:rowOff>
    </xdr:from>
    <xdr:to>
      <xdr:col>8</xdr:col>
      <xdr:colOff>517865</xdr:colOff>
      <xdr:row>204</xdr:row>
      <xdr:rowOff>17979</xdr:rowOff>
    </xdr:to>
    <xdr:sp macro="" textlink="">
      <xdr:nvSpPr>
        <xdr:cNvPr id="93" name="Flecha: a la derecha 92">
          <a:extLst>
            <a:ext uri="{FF2B5EF4-FFF2-40B4-BE49-F238E27FC236}">
              <a16:creationId xmlns:a16="http://schemas.microsoft.com/office/drawing/2014/main" id="{ED26B412-9E9D-4ED5-B411-925587EF9132}"/>
            </a:ext>
          </a:extLst>
        </xdr:cNvPr>
        <xdr:cNvSpPr/>
      </xdr:nvSpPr>
      <xdr:spPr>
        <a:xfrm rot="5400000">
          <a:off x="7767523" y="52682837"/>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119062</xdr:colOff>
      <xdr:row>0</xdr:row>
      <xdr:rowOff>59531</xdr:rowOff>
    </xdr:from>
    <xdr:to>
      <xdr:col>18</xdr:col>
      <xdr:colOff>80961</xdr:colOff>
      <xdr:row>2</xdr:row>
      <xdr:rowOff>200025</xdr:rowOff>
    </xdr:to>
    <xdr:sp macro="" textlink="">
      <xdr:nvSpPr>
        <xdr:cNvPr id="94" name="Rectángulo 93">
          <a:hlinkClick xmlns:r="http://schemas.openxmlformats.org/officeDocument/2006/relationships" r:id="rId5"/>
          <a:extLst>
            <a:ext uri="{FF2B5EF4-FFF2-40B4-BE49-F238E27FC236}">
              <a16:creationId xmlns:a16="http://schemas.microsoft.com/office/drawing/2014/main" id="{E8418A5A-A87F-4BAD-94EE-2FDAFFDA1556}"/>
            </a:ext>
          </a:extLst>
        </xdr:cNvPr>
        <xdr:cNvSpPr/>
      </xdr:nvSpPr>
      <xdr:spPr>
        <a:xfrm>
          <a:off x="14797087" y="59531"/>
          <a:ext cx="1485899" cy="53101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twoCellAnchor>
    <xdr:from>
      <xdr:col>5</xdr:col>
      <xdr:colOff>442231</xdr:colOff>
      <xdr:row>214</xdr:row>
      <xdr:rowOff>97972</xdr:rowOff>
    </xdr:from>
    <xdr:to>
      <xdr:col>18</xdr:col>
      <xdr:colOff>802822</xdr:colOff>
      <xdr:row>225</xdr:row>
      <xdr:rowOff>81643</xdr:rowOff>
    </xdr:to>
    <mc:AlternateContent xmlns:mc="http://schemas.openxmlformats.org/markup-compatibility/2006">
      <mc:Choice xmlns:cx1="http://schemas.microsoft.com/office/drawing/2015/9/8/chartex" Requires="cx1">
        <xdr:graphicFrame macro="">
          <xdr:nvGraphicFramePr>
            <xdr:cNvPr id="95" name="Gráfico 94">
              <a:extLst>
                <a:ext uri="{FF2B5EF4-FFF2-40B4-BE49-F238E27FC236}">
                  <a16:creationId xmlns:a16="http://schemas.microsoft.com/office/drawing/2014/main" id="{B82E5155-6BB5-4F66-9947-3869E10169F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366656" y="55190572"/>
              <a:ext cx="11923941" cy="532719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564696</xdr:colOff>
      <xdr:row>4</xdr:row>
      <xdr:rowOff>141740</xdr:rowOff>
    </xdr:from>
    <xdr:to>
      <xdr:col>9</xdr:col>
      <xdr:colOff>631472</xdr:colOff>
      <xdr:row>38</xdr:row>
      <xdr:rowOff>63499</xdr:rowOff>
    </xdr:to>
    <xdr:pic>
      <xdr:nvPicPr>
        <xdr:cNvPr id="4" name="Imagen 3">
          <a:extLst>
            <a:ext uri="{FF2B5EF4-FFF2-40B4-BE49-F238E27FC236}">
              <a16:creationId xmlns:a16="http://schemas.microsoft.com/office/drawing/2014/main" id="{90D52B53-01EF-0A6E-80DF-0F4FA0C4B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4696" y="903740"/>
          <a:ext cx="6924776" cy="63987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11339</xdr:colOff>
      <xdr:row>29</xdr:row>
      <xdr:rowOff>66675</xdr:rowOff>
    </xdr:from>
    <xdr:to>
      <xdr:col>16</xdr:col>
      <xdr:colOff>314326</xdr:colOff>
      <xdr:row>39</xdr:row>
      <xdr:rowOff>95249</xdr:rowOff>
    </xdr:to>
    <xdr:grpSp>
      <xdr:nvGrpSpPr>
        <xdr:cNvPr id="2" name="Grupo 1">
          <a:extLst>
            <a:ext uri="{FF2B5EF4-FFF2-40B4-BE49-F238E27FC236}">
              <a16:creationId xmlns:a16="http://schemas.microsoft.com/office/drawing/2014/main" id="{D80FB597-D3B2-415F-AC7E-FE8D8924FF1A}"/>
            </a:ext>
          </a:extLst>
        </xdr:cNvPr>
        <xdr:cNvGrpSpPr/>
      </xdr:nvGrpSpPr>
      <xdr:grpSpPr>
        <a:xfrm>
          <a:off x="2664732" y="6924675"/>
          <a:ext cx="12358915" cy="1933574"/>
          <a:chOff x="2706914" y="6896100"/>
          <a:chExt cx="10437587" cy="1933574"/>
        </a:xfrm>
      </xdr:grpSpPr>
      <xdr:pic>
        <xdr:nvPicPr>
          <xdr:cNvPr id="3" name="Imagen 2">
            <a:extLst>
              <a:ext uri="{FF2B5EF4-FFF2-40B4-BE49-F238E27FC236}">
                <a16:creationId xmlns:a16="http://schemas.microsoft.com/office/drawing/2014/main" id="{B4D4CBC1-78CB-8F4C-2150-A28A925A6124}"/>
              </a:ext>
            </a:extLst>
          </xdr:cNvPr>
          <xdr:cNvPicPr>
            <a:picLocks noChangeAspect="1"/>
          </xdr:cNvPicPr>
        </xdr:nvPicPr>
        <xdr:blipFill>
          <a:blip xmlns:r="http://schemas.openxmlformats.org/officeDocument/2006/relationships" r:embed="rId1"/>
          <a:stretch>
            <a:fillRect/>
          </a:stretch>
        </xdr:blipFill>
        <xdr:spPr>
          <a:xfrm>
            <a:off x="4352925" y="6896100"/>
            <a:ext cx="5104762" cy="1514286"/>
          </a:xfrm>
          <a:prstGeom prst="rect">
            <a:avLst/>
          </a:prstGeom>
        </xdr:spPr>
      </xdr:pic>
      <xdr:sp macro="" textlink="">
        <xdr:nvSpPr>
          <xdr:cNvPr id="4" name="CuadroTexto 3">
            <a:extLst>
              <a:ext uri="{FF2B5EF4-FFF2-40B4-BE49-F238E27FC236}">
                <a16:creationId xmlns:a16="http://schemas.microsoft.com/office/drawing/2014/main" id="{51BF7839-262D-7223-D936-454C6AE0D0C8}"/>
              </a:ext>
            </a:extLst>
          </xdr:cNvPr>
          <xdr:cNvSpPr txBox="1"/>
        </xdr:nvSpPr>
        <xdr:spPr>
          <a:xfrm>
            <a:off x="2706914" y="7480752"/>
            <a:ext cx="988332" cy="784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Criterios</a:t>
            </a:r>
          </a:p>
          <a:p>
            <a:r>
              <a:rPr lang="es-CO" sz="1100" b="1">
                <a:latin typeface="Calibri" panose="020F0502020204030204" pitchFamily="34" charset="0"/>
                <a:cs typeface="Calibri" panose="020F0502020204030204" pitchFamily="34" charset="0"/>
              </a:rPr>
              <a:t>del mismo orden y/o</a:t>
            </a:r>
            <a:r>
              <a:rPr lang="es-CO" sz="1100" b="1" baseline="0">
                <a:latin typeface="Calibri" panose="020F0502020204030204" pitchFamily="34" charset="0"/>
                <a:cs typeface="Calibri" panose="020F0502020204030204" pitchFamily="34" charset="0"/>
              </a:rPr>
              <a:t> jerarquía</a:t>
            </a:r>
            <a:endParaRPr lang="es-CO" sz="1100" b="1">
              <a:latin typeface="Calibri" panose="020F0502020204030204" pitchFamily="34" charset="0"/>
              <a:cs typeface="Calibri" panose="020F0502020204030204" pitchFamily="34" charset="0"/>
            </a:endParaRPr>
          </a:p>
        </xdr:txBody>
      </xdr:sp>
      <xdr:sp macro="" textlink="">
        <xdr:nvSpPr>
          <xdr:cNvPr id="5" name="Abrir llave 4">
            <a:extLst>
              <a:ext uri="{FF2B5EF4-FFF2-40B4-BE49-F238E27FC236}">
                <a16:creationId xmlns:a16="http://schemas.microsoft.com/office/drawing/2014/main" id="{A3831220-E9A3-3F55-3E3B-88B8F220362F}"/>
              </a:ext>
            </a:extLst>
          </xdr:cNvPr>
          <xdr:cNvSpPr/>
        </xdr:nvSpPr>
        <xdr:spPr>
          <a:xfrm>
            <a:off x="3543300" y="6908800"/>
            <a:ext cx="828675" cy="1454150"/>
          </a:xfrm>
          <a:prstGeom prst="leftBrace">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sp macro="" textlink="">
        <xdr:nvSpPr>
          <xdr:cNvPr id="6" name="Elipse 5">
            <a:extLst>
              <a:ext uri="{FF2B5EF4-FFF2-40B4-BE49-F238E27FC236}">
                <a16:creationId xmlns:a16="http://schemas.microsoft.com/office/drawing/2014/main" id="{23FA5433-F82B-33CC-A842-34D1EE9FE6DF}"/>
              </a:ext>
            </a:extLst>
          </xdr:cNvPr>
          <xdr:cNvSpPr/>
        </xdr:nvSpPr>
        <xdr:spPr>
          <a:xfrm>
            <a:off x="5562600" y="7781925"/>
            <a:ext cx="657225" cy="304800"/>
          </a:xfrm>
          <a:prstGeom prst="ellipse">
            <a:avLst/>
          </a:prstGeom>
          <a:no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xnSp macro="">
        <xdr:nvCxnSpPr>
          <xdr:cNvPr id="7" name="Conector: angular 6">
            <a:extLst>
              <a:ext uri="{FF2B5EF4-FFF2-40B4-BE49-F238E27FC236}">
                <a16:creationId xmlns:a16="http://schemas.microsoft.com/office/drawing/2014/main" id="{EA638471-517C-5B43-6E99-4418968BCEFE}"/>
              </a:ext>
            </a:extLst>
          </xdr:cNvPr>
          <xdr:cNvCxnSpPr>
            <a:stCxn id="6" idx="4"/>
            <a:endCxn id="8" idx="1"/>
          </xdr:cNvCxnSpPr>
        </xdr:nvCxnSpPr>
        <xdr:spPr>
          <a:xfrm rot="16200000" flipH="1">
            <a:off x="5829301" y="8148637"/>
            <a:ext cx="604837" cy="481012"/>
          </a:xfrm>
          <a:prstGeom prst="bentConnector2">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8" name="CuadroTexto 7">
            <a:extLst>
              <a:ext uri="{FF2B5EF4-FFF2-40B4-BE49-F238E27FC236}">
                <a16:creationId xmlns:a16="http://schemas.microsoft.com/office/drawing/2014/main" id="{FBB3FA63-69B7-6298-CAA4-A00D7CEEEC53}"/>
              </a:ext>
            </a:extLst>
          </xdr:cNvPr>
          <xdr:cNvSpPr txBox="1"/>
        </xdr:nvSpPr>
        <xdr:spPr>
          <a:xfrm>
            <a:off x="6372225" y="8553449"/>
            <a:ext cx="48196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C3</a:t>
            </a:r>
            <a:r>
              <a:rPr lang="es-CO" sz="1100" b="1" baseline="0">
                <a:latin typeface="Calibri" panose="020F0502020204030204" pitchFamily="34" charset="0"/>
                <a:cs typeface="Calibri" panose="020F0502020204030204" pitchFamily="34" charset="0"/>
              </a:rPr>
              <a:t>  tiene importancia moderada (3 - Escala fundamental de Saaty) sobre C1</a:t>
            </a:r>
            <a:endParaRPr lang="es-CO" sz="1100" b="1">
              <a:latin typeface="Calibri" panose="020F0502020204030204" pitchFamily="34" charset="0"/>
              <a:cs typeface="Calibri" panose="020F0502020204030204" pitchFamily="34" charset="0"/>
            </a:endParaRPr>
          </a:p>
        </xdr:txBody>
      </xdr:sp>
      <xdr:sp macro="" textlink="">
        <xdr:nvSpPr>
          <xdr:cNvPr id="9" name="Elipse 8">
            <a:extLst>
              <a:ext uri="{FF2B5EF4-FFF2-40B4-BE49-F238E27FC236}">
                <a16:creationId xmlns:a16="http://schemas.microsoft.com/office/drawing/2014/main" id="{38DCE5C0-F125-EE5B-5E7C-914B523963DC}"/>
              </a:ext>
            </a:extLst>
          </xdr:cNvPr>
          <xdr:cNvSpPr/>
        </xdr:nvSpPr>
        <xdr:spPr>
          <a:xfrm>
            <a:off x="7572375" y="7181850"/>
            <a:ext cx="657225" cy="304800"/>
          </a:xfrm>
          <a:prstGeom prst="ellipse">
            <a:avLst/>
          </a:prstGeom>
          <a:no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xnSp macro="">
        <xdr:nvCxnSpPr>
          <xdr:cNvPr id="10" name="Conector: angular 9">
            <a:extLst>
              <a:ext uri="{FF2B5EF4-FFF2-40B4-BE49-F238E27FC236}">
                <a16:creationId xmlns:a16="http://schemas.microsoft.com/office/drawing/2014/main" id="{108CFA79-B87C-234A-F936-AF3C387E10CE}"/>
              </a:ext>
            </a:extLst>
          </xdr:cNvPr>
          <xdr:cNvCxnSpPr>
            <a:stCxn id="6" idx="6"/>
            <a:endCxn id="9" idx="2"/>
          </xdr:cNvCxnSpPr>
        </xdr:nvCxnSpPr>
        <xdr:spPr>
          <a:xfrm flipV="1">
            <a:off x="6219825" y="7334250"/>
            <a:ext cx="1352550" cy="600075"/>
          </a:xfrm>
          <a:prstGeom prst="bentConnector3">
            <a:avLst>
              <a:gd name="adj1" fmla="val 12676"/>
            </a:avLst>
          </a:prstGeom>
          <a:ln w="28575">
            <a:prstDash val="dash"/>
          </a:ln>
        </xdr:spPr>
        <xdr:style>
          <a:lnRef idx="1">
            <a:schemeClr val="accent6"/>
          </a:lnRef>
          <a:fillRef idx="0">
            <a:schemeClr val="accent6"/>
          </a:fillRef>
          <a:effectRef idx="0">
            <a:schemeClr val="accent6"/>
          </a:effectRef>
          <a:fontRef idx="minor">
            <a:schemeClr val="tx1"/>
          </a:fontRef>
        </xdr:style>
      </xdr:cxnSp>
      <xdr:cxnSp macro="">
        <xdr:nvCxnSpPr>
          <xdr:cNvPr id="11" name="Conector: angular 10">
            <a:extLst>
              <a:ext uri="{FF2B5EF4-FFF2-40B4-BE49-F238E27FC236}">
                <a16:creationId xmlns:a16="http://schemas.microsoft.com/office/drawing/2014/main" id="{DC200ED3-D41C-65FD-877A-74C64ECB3BA4}"/>
              </a:ext>
            </a:extLst>
          </xdr:cNvPr>
          <xdr:cNvCxnSpPr/>
        </xdr:nvCxnSpPr>
        <xdr:spPr>
          <a:xfrm>
            <a:off x="8486778" y="7334253"/>
            <a:ext cx="2114548" cy="138109"/>
          </a:xfrm>
          <a:prstGeom prst="bentConnector3">
            <a:avLst>
              <a:gd name="adj1" fmla="val 50000"/>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12" name="CuadroTexto 11">
            <a:extLst>
              <a:ext uri="{FF2B5EF4-FFF2-40B4-BE49-F238E27FC236}">
                <a16:creationId xmlns:a16="http://schemas.microsoft.com/office/drawing/2014/main" id="{2AF7BE04-002A-89E2-FC31-9EFFDF91229C}"/>
              </a:ext>
            </a:extLst>
          </xdr:cNvPr>
          <xdr:cNvSpPr txBox="1"/>
        </xdr:nvSpPr>
        <xdr:spPr>
          <a:xfrm>
            <a:off x="10572751" y="7343774"/>
            <a:ext cx="2571750" cy="638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Condición de reciprocidad, se cumple que en la matriz A, </a:t>
            </a:r>
            <a:r>
              <a:rPr lang="es-CO" sz="1800" b="1">
                <a:latin typeface="Calibri" panose="020F0502020204030204" pitchFamily="34" charset="0"/>
                <a:cs typeface="Calibri" panose="020F0502020204030204" pitchFamily="34" charset="0"/>
              </a:rPr>
              <a:t>a</a:t>
            </a:r>
            <a:r>
              <a:rPr lang="es-CO" sz="1100" b="1">
                <a:latin typeface="Calibri" panose="020F0502020204030204" pitchFamily="34" charset="0"/>
                <a:cs typeface="Calibri" panose="020F0502020204030204" pitchFamily="34" charset="0"/>
              </a:rPr>
              <a:t>ij =1/</a:t>
            </a:r>
            <a:r>
              <a:rPr lang="es-CO" sz="1800" b="1">
                <a:latin typeface="Calibri" panose="020F0502020204030204" pitchFamily="34" charset="0"/>
                <a:cs typeface="Calibri" panose="020F0502020204030204" pitchFamily="34" charset="0"/>
              </a:rPr>
              <a:t>a</a:t>
            </a:r>
            <a:r>
              <a:rPr lang="es-CO" sz="1100" b="1">
                <a:latin typeface="Calibri" panose="020F0502020204030204" pitchFamily="34" charset="0"/>
                <a:cs typeface="Calibri" panose="020F0502020204030204" pitchFamily="34" charset="0"/>
              </a:rPr>
              <a:t>ji</a:t>
            </a:r>
          </a:p>
        </xdr:txBody>
      </xdr:sp>
    </xdr:grpSp>
    <xdr:clientData/>
  </xdr:twoCellAnchor>
  <xdr:twoCellAnchor>
    <xdr:from>
      <xdr:col>11</xdr:col>
      <xdr:colOff>85725</xdr:colOff>
      <xdr:row>44</xdr:row>
      <xdr:rowOff>66675</xdr:rowOff>
    </xdr:from>
    <xdr:to>
      <xdr:col>12</xdr:col>
      <xdr:colOff>155425</xdr:colOff>
      <xdr:row>47</xdr:row>
      <xdr:rowOff>377825</xdr:rowOff>
    </xdr:to>
    <xdr:sp macro="" textlink="">
      <xdr:nvSpPr>
        <xdr:cNvPr id="13" name="Abrir llave 12">
          <a:extLst>
            <a:ext uri="{FF2B5EF4-FFF2-40B4-BE49-F238E27FC236}">
              <a16:creationId xmlns:a16="http://schemas.microsoft.com/office/drawing/2014/main" id="{245D64F0-91AA-4ECA-8224-F345ECD2753E}"/>
            </a:ext>
          </a:extLst>
        </xdr:cNvPr>
        <xdr:cNvSpPr/>
      </xdr:nvSpPr>
      <xdr:spPr>
        <a:xfrm rot="10800000">
          <a:off x="8467725" y="8448675"/>
          <a:ext cx="831700" cy="692150"/>
        </a:xfrm>
        <a:prstGeom prst="leftBrace">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oneCellAnchor>
    <xdr:from>
      <xdr:col>11</xdr:col>
      <xdr:colOff>220293</xdr:colOff>
      <xdr:row>53</xdr:row>
      <xdr:rowOff>0</xdr:rowOff>
    </xdr:from>
    <xdr:ext cx="3311286" cy="1325790"/>
    <xdr:pic>
      <xdr:nvPicPr>
        <xdr:cNvPr id="14" name="Imagen 13">
          <a:extLst>
            <a:ext uri="{FF2B5EF4-FFF2-40B4-BE49-F238E27FC236}">
              <a16:creationId xmlns:a16="http://schemas.microsoft.com/office/drawing/2014/main" id="{92151B06-85F0-443B-A3AA-0AF47CAA1F24}"/>
            </a:ext>
          </a:extLst>
        </xdr:cNvPr>
        <xdr:cNvPicPr>
          <a:picLocks noChangeAspect="1"/>
        </xdr:cNvPicPr>
      </xdr:nvPicPr>
      <xdr:blipFill>
        <a:blip xmlns:r="http://schemas.openxmlformats.org/officeDocument/2006/relationships" r:embed="rId2"/>
        <a:stretch>
          <a:fillRect/>
        </a:stretch>
      </xdr:blipFill>
      <xdr:spPr>
        <a:xfrm>
          <a:off x="8602293" y="10096500"/>
          <a:ext cx="3311286" cy="1325790"/>
        </a:xfrm>
        <a:prstGeom prst="rect">
          <a:avLst/>
        </a:prstGeom>
      </xdr:spPr>
    </xdr:pic>
    <xdr:clientData/>
  </xdr:oneCellAnchor>
  <xdr:twoCellAnchor>
    <xdr:from>
      <xdr:col>10</xdr:col>
      <xdr:colOff>552453</xdr:colOff>
      <xdr:row>54</xdr:row>
      <xdr:rowOff>142878</xdr:rowOff>
    </xdr:from>
    <xdr:to>
      <xdr:col>11</xdr:col>
      <xdr:colOff>200024</xdr:colOff>
      <xdr:row>55</xdr:row>
      <xdr:rowOff>133350</xdr:rowOff>
    </xdr:to>
    <xdr:cxnSp macro="">
      <xdr:nvCxnSpPr>
        <xdr:cNvPr id="15" name="Conector: angular 14">
          <a:extLst>
            <a:ext uri="{FF2B5EF4-FFF2-40B4-BE49-F238E27FC236}">
              <a16:creationId xmlns:a16="http://schemas.microsoft.com/office/drawing/2014/main" id="{69B5DD04-846F-4166-A0A6-35ED95736D26}"/>
            </a:ext>
          </a:extLst>
        </xdr:cNvPr>
        <xdr:cNvCxnSpPr/>
      </xdr:nvCxnSpPr>
      <xdr:spPr>
        <a:xfrm flipV="1">
          <a:off x="8172453" y="10429878"/>
          <a:ext cx="409571" cy="180972"/>
        </a:xfrm>
        <a:prstGeom prst="bentConnector3">
          <a:avLst>
            <a:gd name="adj1" fmla="val 50000"/>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11</xdr:col>
      <xdr:colOff>342900</xdr:colOff>
      <xdr:row>57</xdr:row>
      <xdr:rowOff>180975</xdr:rowOff>
    </xdr:from>
    <xdr:ext cx="2227893" cy="1247619"/>
    <xdr:pic>
      <xdr:nvPicPr>
        <xdr:cNvPr id="16" name="Imagen 15">
          <a:extLst>
            <a:ext uri="{FF2B5EF4-FFF2-40B4-BE49-F238E27FC236}">
              <a16:creationId xmlns:a16="http://schemas.microsoft.com/office/drawing/2014/main" id="{3DE44FD0-09AD-4602-836F-D2B4477737B1}"/>
            </a:ext>
          </a:extLst>
        </xdr:cNvPr>
        <xdr:cNvPicPr>
          <a:picLocks noChangeAspect="1"/>
        </xdr:cNvPicPr>
      </xdr:nvPicPr>
      <xdr:blipFill>
        <a:blip xmlns:r="http://schemas.openxmlformats.org/officeDocument/2006/relationships" r:embed="rId3"/>
        <a:stretch>
          <a:fillRect/>
        </a:stretch>
      </xdr:blipFill>
      <xdr:spPr>
        <a:xfrm>
          <a:off x="8724900" y="11039475"/>
          <a:ext cx="2227893" cy="1247619"/>
        </a:xfrm>
        <a:prstGeom prst="rect">
          <a:avLst/>
        </a:prstGeom>
      </xdr:spPr>
    </xdr:pic>
    <xdr:clientData/>
  </xdr:oneCellAnchor>
  <xdr:twoCellAnchor>
    <xdr:from>
      <xdr:col>3</xdr:col>
      <xdr:colOff>200025</xdr:colOff>
      <xdr:row>61</xdr:row>
      <xdr:rowOff>42785</xdr:rowOff>
    </xdr:from>
    <xdr:to>
      <xdr:col>11</xdr:col>
      <xdr:colOff>314325</xdr:colOff>
      <xdr:row>62</xdr:row>
      <xdr:rowOff>114300</xdr:rowOff>
    </xdr:to>
    <xdr:cxnSp macro="">
      <xdr:nvCxnSpPr>
        <xdr:cNvPr id="17" name="Conector: angular 16">
          <a:extLst>
            <a:ext uri="{FF2B5EF4-FFF2-40B4-BE49-F238E27FC236}">
              <a16:creationId xmlns:a16="http://schemas.microsoft.com/office/drawing/2014/main" id="{65F35B5A-0320-45D8-B13A-E070A76781EC}"/>
            </a:ext>
          </a:extLst>
        </xdr:cNvPr>
        <xdr:cNvCxnSpPr/>
      </xdr:nvCxnSpPr>
      <xdr:spPr>
        <a:xfrm flipV="1">
          <a:off x="2486025" y="11663285"/>
          <a:ext cx="6210300" cy="262015"/>
        </a:xfrm>
        <a:prstGeom prst="bentConnector3">
          <a:avLst>
            <a:gd name="adj1" fmla="val 6647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180975</xdr:colOff>
      <xdr:row>49</xdr:row>
      <xdr:rowOff>123825</xdr:rowOff>
    </xdr:from>
    <xdr:to>
      <xdr:col>3</xdr:col>
      <xdr:colOff>685800</xdr:colOff>
      <xdr:row>51</xdr:row>
      <xdr:rowOff>85725</xdr:rowOff>
    </xdr:to>
    <xdr:sp macro="" textlink="">
      <xdr:nvSpPr>
        <xdr:cNvPr id="18" name="CuadroTexto 17">
          <a:extLst>
            <a:ext uri="{FF2B5EF4-FFF2-40B4-BE49-F238E27FC236}">
              <a16:creationId xmlns:a16="http://schemas.microsoft.com/office/drawing/2014/main" id="{63CADC7B-C3EF-4A52-80FD-554E30DC9731}"/>
            </a:ext>
          </a:extLst>
        </xdr:cNvPr>
        <xdr:cNvSpPr txBox="1"/>
      </xdr:nvSpPr>
      <xdr:spPr>
        <a:xfrm>
          <a:off x="2466975" y="9458325"/>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9525</xdr:colOff>
      <xdr:row>48</xdr:row>
      <xdr:rowOff>9524</xdr:rowOff>
    </xdr:from>
    <xdr:to>
      <xdr:col>6</xdr:col>
      <xdr:colOff>57150</xdr:colOff>
      <xdr:row>50</xdr:row>
      <xdr:rowOff>30237</xdr:rowOff>
    </xdr:to>
    <xdr:sp macro="" textlink="">
      <xdr:nvSpPr>
        <xdr:cNvPr id="19" name="Abrir llave 18">
          <a:extLst>
            <a:ext uri="{FF2B5EF4-FFF2-40B4-BE49-F238E27FC236}">
              <a16:creationId xmlns:a16="http://schemas.microsoft.com/office/drawing/2014/main" id="{C6A35CE6-8BD3-4346-A2CC-BAF27DEB6824}"/>
            </a:ext>
          </a:extLst>
        </xdr:cNvPr>
        <xdr:cNvSpPr/>
      </xdr:nvSpPr>
      <xdr:spPr>
        <a:xfrm rot="5400000" flipH="1">
          <a:off x="2499481" y="7425568"/>
          <a:ext cx="401713" cy="385762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10</xdr:col>
      <xdr:colOff>228600</xdr:colOff>
      <xdr:row>49</xdr:row>
      <xdr:rowOff>57150</xdr:rowOff>
    </xdr:from>
    <xdr:to>
      <xdr:col>10</xdr:col>
      <xdr:colOff>733425</xdr:colOff>
      <xdr:row>51</xdr:row>
      <xdr:rowOff>19050</xdr:rowOff>
    </xdr:to>
    <xdr:sp macro="" textlink="">
      <xdr:nvSpPr>
        <xdr:cNvPr id="20" name="CuadroTexto 19">
          <a:extLst>
            <a:ext uri="{FF2B5EF4-FFF2-40B4-BE49-F238E27FC236}">
              <a16:creationId xmlns:a16="http://schemas.microsoft.com/office/drawing/2014/main" id="{E62AD07D-8273-46B4-BD90-68C8623ADC8E}"/>
            </a:ext>
          </a:extLst>
        </xdr:cNvPr>
        <xdr:cNvSpPr txBox="1"/>
      </xdr:nvSpPr>
      <xdr:spPr>
        <a:xfrm>
          <a:off x="7848600" y="9391650"/>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10</xdr:col>
      <xdr:colOff>38099</xdr:colOff>
      <xdr:row>48</xdr:row>
      <xdr:rowOff>57149</xdr:rowOff>
    </xdr:from>
    <xdr:to>
      <xdr:col>10</xdr:col>
      <xdr:colOff>790575</xdr:colOff>
      <xdr:row>49</xdr:row>
      <xdr:rowOff>106436</xdr:rowOff>
    </xdr:to>
    <xdr:sp macro="" textlink="">
      <xdr:nvSpPr>
        <xdr:cNvPr id="21" name="Abrir llave 20">
          <a:extLst>
            <a:ext uri="{FF2B5EF4-FFF2-40B4-BE49-F238E27FC236}">
              <a16:creationId xmlns:a16="http://schemas.microsoft.com/office/drawing/2014/main" id="{A164B704-3C72-46A6-9A9E-6FFE692B99F0}"/>
            </a:ext>
          </a:extLst>
        </xdr:cNvPr>
        <xdr:cNvSpPr/>
      </xdr:nvSpPr>
      <xdr:spPr>
        <a:xfrm rot="5400000" flipH="1">
          <a:off x="7900156" y="8959092"/>
          <a:ext cx="239787" cy="723901"/>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2</xdr:col>
      <xdr:colOff>238125</xdr:colOff>
      <xdr:row>70</xdr:row>
      <xdr:rowOff>38100</xdr:rowOff>
    </xdr:from>
    <xdr:to>
      <xdr:col>2</xdr:col>
      <xdr:colOff>742950</xdr:colOff>
      <xdr:row>72</xdr:row>
      <xdr:rowOff>0</xdr:rowOff>
    </xdr:to>
    <xdr:sp macro="" textlink="">
      <xdr:nvSpPr>
        <xdr:cNvPr id="22" name="CuadroTexto 21">
          <a:extLst>
            <a:ext uri="{FF2B5EF4-FFF2-40B4-BE49-F238E27FC236}">
              <a16:creationId xmlns:a16="http://schemas.microsoft.com/office/drawing/2014/main" id="{C80CAAEC-5701-4603-85EA-75323BA1BB72}"/>
            </a:ext>
          </a:extLst>
        </xdr:cNvPr>
        <xdr:cNvSpPr txBox="1"/>
      </xdr:nvSpPr>
      <xdr:spPr>
        <a:xfrm>
          <a:off x="1762125" y="13373100"/>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2</xdr:col>
      <xdr:colOff>47624</xdr:colOff>
      <xdr:row>69</xdr:row>
      <xdr:rowOff>38099</xdr:rowOff>
    </xdr:from>
    <xdr:to>
      <xdr:col>3</xdr:col>
      <xdr:colOff>9525</xdr:colOff>
      <xdr:row>70</xdr:row>
      <xdr:rowOff>87386</xdr:rowOff>
    </xdr:to>
    <xdr:sp macro="" textlink="">
      <xdr:nvSpPr>
        <xdr:cNvPr id="23" name="Abrir llave 22">
          <a:extLst>
            <a:ext uri="{FF2B5EF4-FFF2-40B4-BE49-F238E27FC236}">
              <a16:creationId xmlns:a16="http://schemas.microsoft.com/office/drawing/2014/main" id="{28A1D0FA-F93D-4BB2-BE47-B082270D829D}"/>
            </a:ext>
          </a:extLst>
        </xdr:cNvPr>
        <xdr:cNvSpPr/>
      </xdr:nvSpPr>
      <xdr:spPr>
        <a:xfrm rot="5400000" flipH="1">
          <a:off x="1813681" y="12940542"/>
          <a:ext cx="239787" cy="723901"/>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4</xdr:col>
      <xdr:colOff>257175</xdr:colOff>
      <xdr:row>69</xdr:row>
      <xdr:rowOff>161925</xdr:rowOff>
    </xdr:from>
    <xdr:to>
      <xdr:col>5</xdr:col>
      <xdr:colOff>0</xdr:colOff>
      <xdr:row>71</xdr:row>
      <xdr:rowOff>123825</xdr:rowOff>
    </xdr:to>
    <xdr:sp macro="" textlink="">
      <xdr:nvSpPr>
        <xdr:cNvPr id="24" name="CuadroTexto 23">
          <a:extLst>
            <a:ext uri="{FF2B5EF4-FFF2-40B4-BE49-F238E27FC236}">
              <a16:creationId xmlns:a16="http://schemas.microsoft.com/office/drawing/2014/main" id="{8B2CC36E-9D09-4B86-B9E6-0FCF19B3F8EA}"/>
            </a:ext>
          </a:extLst>
        </xdr:cNvPr>
        <xdr:cNvSpPr txBox="1"/>
      </xdr:nvSpPr>
      <xdr:spPr>
        <a:xfrm>
          <a:off x="3305175" y="13306425"/>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4</xdr:col>
      <xdr:colOff>66674</xdr:colOff>
      <xdr:row>68</xdr:row>
      <xdr:rowOff>161924</xdr:rowOff>
    </xdr:from>
    <xdr:to>
      <xdr:col>5</xdr:col>
      <xdr:colOff>57150</xdr:colOff>
      <xdr:row>70</xdr:row>
      <xdr:rowOff>20711</xdr:rowOff>
    </xdr:to>
    <xdr:sp macro="" textlink="">
      <xdr:nvSpPr>
        <xdr:cNvPr id="25" name="Abrir llave 24">
          <a:extLst>
            <a:ext uri="{FF2B5EF4-FFF2-40B4-BE49-F238E27FC236}">
              <a16:creationId xmlns:a16="http://schemas.microsoft.com/office/drawing/2014/main" id="{EAE6481E-1E8E-4EC0-B199-E9AA54DB1E8C}"/>
            </a:ext>
          </a:extLst>
        </xdr:cNvPr>
        <xdr:cNvSpPr/>
      </xdr:nvSpPr>
      <xdr:spPr>
        <a:xfrm rot="5400000" flipH="1">
          <a:off x="3371018" y="12859580"/>
          <a:ext cx="239787" cy="752476"/>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5</xdr:col>
      <xdr:colOff>438150</xdr:colOff>
      <xdr:row>65</xdr:row>
      <xdr:rowOff>152400</xdr:rowOff>
    </xdr:from>
    <xdr:to>
      <xdr:col>6</xdr:col>
      <xdr:colOff>47625</xdr:colOff>
      <xdr:row>68</xdr:row>
      <xdr:rowOff>38100</xdr:rowOff>
    </xdr:to>
    <xdr:sp macro="" textlink="">
      <xdr:nvSpPr>
        <xdr:cNvPr id="26" name="Flecha: a la derecha 25">
          <a:extLst>
            <a:ext uri="{FF2B5EF4-FFF2-40B4-BE49-F238E27FC236}">
              <a16:creationId xmlns:a16="http://schemas.microsoft.com/office/drawing/2014/main" id="{3A9FE79F-A886-462F-B978-A55BB35F6566}"/>
            </a:ext>
          </a:extLst>
        </xdr:cNvPr>
        <xdr:cNvSpPr/>
      </xdr:nvSpPr>
      <xdr:spPr>
        <a:xfrm>
          <a:off x="4248150" y="12534900"/>
          <a:ext cx="371475" cy="4572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109764</xdr:colOff>
      <xdr:row>66</xdr:row>
      <xdr:rowOff>136525</xdr:rowOff>
    </xdr:from>
    <xdr:to>
      <xdr:col>11</xdr:col>
      <xdr:colOff>766989</xdr:colOff>
      <xdr:row>68</xdr:row>
      <xdr:rowOff>88447</xdr:rowOff>
    </xdr:to>
    <xdr:sp macro="" textlink="">
      <xdr:nvSpPr>
        <xdr:cNvPr id="27" name="Es igual a 26">
          <a:extLst>
            <a:ext uri="{FF2B5EF4-FFF2-40B4-BE49-F238E27FC236}">
              <a16:creationId xmlns:a16="http://schemas.microsoft.com/office/drawing/2014/main" id="{E6246ABE-5787-4E83-BFEF-D5309558941B}"/>
            </a:ext>
          </a:extLst>
        </xdr:cNvPr>
        <xdr:cNvSpPr/>
      </xdr:nvSpPr>
      <xdr:spPr>
        <a:xfrm>
          <a:off x="8491764" y="12709525"/>
          <a:ext cx="647700" cy="332922"/>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oneCellAnchor>
    <xdr:from>
      <xdr:col>4</xdr:col>
      <xdr:colOff>714375</xdr:colOff>
      <xdr:row>72</xdr:row>
      <xdr:rowOff>180975</xdr:rowOff>
    </xdr:from>
    <xdr:ext cx="1825172" cy="619049"/>
    <xdr:pic>
      <xdr:nvPicPr>
        <xdr:cNvPr id="28" name="Imagen 27">
          <a:extLst>
            <a:ext uri="{FF2B5EF4-FFF2-40B4-BE49-F238E27FC236}">
              <a16:creationId xmlns:a16="http://schemas.microsoft.com/office/drawing/2014/main" id="{E7897A73-D382-46A0-A711-AFAA6891A7F7}"/>
            </a:ext>
          </a:extLst>
        </xdr:cNvPr>
        <xdr:cNvPicPr>
          <a:picLocks noChangeAspect="1"/>
        </xdr:cNvPicPr>
      </xdr:nvPicPr>
      <xdr:blipFill>
        <a:blip xmlns:r="http://schemas.openxmlformats.org/officeDocument/2006/relationships" r:embed="rId4"/>
        <a:stretch>
          <a:fillRect/>
        </a:stretch>
      </xdr:blipFill>
      <xdr:spPr>
        <a:xfrm>
          <a:off x="3762375" y="13896975"/>
          <a:ext cx="1825172" cy="619049"/>
        </a:xfrm>
        <a:prstGeom prst="rect">
          <a:avLst/>
        </a:prstGeom>
      </xdr:spPr>
    </xdr:pic>
    <xdr:clientData/>
  </xdr:oneCellAnchor>
  <xdr:twoCellAnchor>
    <xdr:from>
      <xdr:col>3</xdr:col>
      <xdr:colOff>285750</xdr:colOff>
      <xdr:row>74</xdr:row>
      <xdr:rowOff>133350</xdr:rowOff>
    </xdr:from>
    <xdr:to>
      <xdr:col>4</xdr:col>
      <xdr:colOff>561975</xdr:colOff>
      <xdr:row>74</xdr:row>
      <xdr:rowOff>146050</xdr:rowOff>
    </xdr:to>
    <xdr:cxnSp macro="">
      <xdr:nvCxnSpPr>
        <xdr:cNvPr id="29" name="Conector: angular 28">
          <a:extLst>
            <a:ext uri="{FF2B5EF4-FFF2-40B4-BE49-F238E27FC236}">
              <a16:creationId xmlns:a16="http://schemas.microsoft.com/office/drawing/2014/main" id="{2C3D387C-418D-4937-870C-817EF39218A1}"/>
            </a:ext>
          </a:extLst>
        </xdr:cNvPr>
        <xdr:cNvCxnSpPr/>
      </xdr:nvCxnSpPr>
      <xdr:spPr>
        <a:xfrm>
          <a:off x="2571750" y="14230350"/>
          <a:ext cx="1038225" cy="12700"/>
        </a:xfrm>
        <a:prstGeom prst="bentConnector3">
          <a:avLst>
            <a:gd name="adj1" fmla="val 50000"/>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123825</xdr:colOff>
      <xdr:row>73</xdr:row>
      <xdr:rowOff>66675</xdr:rowOff>
    </xdr:from>
    <xdr:to>
      <xdr:col>12</xdr:col>
      <xdr:colOff>19050</xdr:colOff>
      <xdr:row>76</xdr:row>
      <xdr:rowOff>19050</xdr:rowOff>
    </xdr:to>
    <xdr:sp macro="" textlink="">
      <xdr:nvSpPr>
        <xdr:cNvPr id="30" name="Es igual a 29">
          <a:extLst>
            <a:ext uri="{FF2B5EF4-FFF2-40B4-BE49-F238E27FC236}">
              <a16:creationId xmlns:a16="http://schemas.microsoft.com/office/drawing/2014/main" id="{7735598E-075A-4179-B458-5E1031AC07E8}"/>
            </a:ext>
          </a:extLst>
        </xdr:cNvPr>
        <xdr:cNvSpPr/>
      </xdr:nvSpPr>
      <xdr:spPr>
        <a:xfrm>
          <a:off x="8505825" y="13973175"/>
          <a:ext cx="657225" cy="523875"/>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oneCellAnchor>
    <xdr:from>
      <xdr:col>4</xdr:col>
      <xdr:colOff>676275</xdr:colOff>
      <xdr:row>76</xdr:row>
      <xdr:rowOff>123825</xdr:rowOff>
    </xdr:from>
    <xdr:ext cx="3314688" cy="1333500"/>
    <xdr:pic>
      <xdr:nvPicPr>
        <xdr:cNvPr id="31" name="Imagen 30">
          <a:extLst>
            <a:ext uri="{FF2B5EF4-FFF2-40B4-BE49-F238E27FC236}">
              <a16:creationId xmlns:a16="http://schemas.microsoft.com/office/drawing/2014/main" id="{F93AED28-3743-4BB6-AB16-A094C3D94718}"/>
            </a:ext>
          </a:extLst>
        </xdr:cNvPr>
        <xdr:cNvPicPr>
          <a:picLocks noChangeAspect="1"/>
        </xdr:cNvPicPr>
      </xdr:nvPicPr>
      <xdr:blipFill>
        <a:blip xmlns:r="http://schemas.openxmlformats.org/officeDocument/2006/relationships" r:embed="rId2"/>
        <a:stretch>
          <a:fillRect/>
        </a:stretch>
      </xdr:blipFill>
      <xdr:spPr>
        <a:xfrm>
          <a:off x="3724275" y="14601825"/>
          <a:ext cx="3314688" cy="1333500"/>
        </a:xfrm>
        <a:prstGeom prst="rect">
          <a:avLst/>
        </a:prstGeom>
      </xdr:spPr>
    </xdr:pic>
    <xdr:clientData/>
  </xdr:oneCellAnchor>
  <xdr:twoCellAnchor>
    <xdr:from>
      <xdr:col>3</xdr:col>
      <xdr:colOff>228600</xdr:colOff>
      <xdr:row>79</xdr:row>
      <xdr:rowOff>95250</xdr:rowOff>
    </xdr:from>
    <xdr:to>
      <xdr:col>4</xdr:col>
      <xdr:colOff>552450</xdr:colOff>
      <xdr:row>79</xdr:row>
      <xdr:rowOff>95250</xdr:rowOff>
    </xdr:to>
    <xdr:cxnSp macro="">
      <xdr:nvCxnSpPr>
        <xdr:cNvPr id="32" name="Conector recto de flecha 31">
          <a:extLst>
            <a:ext uri="{FF2B5EF4-FFF2-40B4-BE49-F238E27FC236}">
              <a16:creationId xmlns:a16="http://schemas.microsoft.com/office/drawing/2014/main" id="{38DCB754-6894-4EA8-BE94-F4635D5E561E}"/>
            </a:ext>
          </a:extLst>
        </xdr:cNvPr>
        <xdr:cNvCxnSpPr/>
      </xdr:nvCxnSpPr>
      <xdr:spPr>
        <a:xfrm>
          <a:off x="2514600" y="15144750"/>
          <a:ext cx="1085850"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970187</xdr:colOff>
      <xdr:row>78</xdr:row>
      <xdr:rowOff>47625</xdr:rowOff>
    </xdr:from>
    <xdr:to>
      <xdr:col>11</xdr:col>
      <xdr:colOff>827312</xdr:colOff>
      <xdr:row>81</xdr:row>
      <xdr:rowOff>0</xdr:rowOff>
    </xdr:to>
    <xdr:sp macro="" textlink="">
      <xdr:nvSpPr>
        <xdr:cNvPr id="33" name="Es igual a 32">
          <a:extLst>
            <a:ext uri="{FF2B5EF4-FFF2-40B4-BE49-F238E27FC236}">
              <a16:creationId xmlns:a16="http://schemas.microsoft.com/office/drawing/2014/main" id="{21B75303-5523-4F31-8B96-1F6BD66E76D9}"/>
            </a:ext>
          </a:extLst>
        </xdr:cNvPr>
        <xdr:cNvSpPr/>
      </xdr:nvSpPr>
      <xdr:spPr>
        <a:xfrm>
          <a:off x="8380637" y="14906625"/>
          <a:ext cx="762000" cy="523875"/>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12</xdr:col>
      <xdr:colOff>754856</xdr:colOff>
      <xdr:row>75</xdr:row>
      <xdr:rowOff>78581</xdr:rowOff>
    </xdr:from>
    <xdr:to>
      <xdr:col>14</xdr:col>
      <xdr:colOff>330995</xdr:colOff>
      <xdr:row>80</xdr:row>
      <xdr:rowOff>100807</xdr:rowOff>
    </xdr:to>
    <xdr:sp macro="" textlink="">
      <xdr:nvSpPr>
        <xdr:cNvPr id="34" name="CuadroTexto 33">
          <a:extLst>
            <a:ext uri="{FF2B5EF4-FFF2-40B4-BE49-F238E27FC236}">
              <a16:creationId xmlns:a16="http://schemas.microsoft.com/office/drawing/2014/main" id="{7C21BA25-01CA-49FB-9445-6A50D4540CAF}"/>
            </a:ext>
          </a:extLst>
        </xdr:cNvPr>
        <xdr:cNvSpPr txBox="1"/>
      </xdr:nvSpPr>
      <xdr:spPr>
        <a:xfrm>
          <a:off x="9898856" y="14366081"/>
          <a:ext cx="1100139" cy="974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criterios es:</a:t>
          </a:r>
          <a:endParaRPr lang="es-CO" sz="1100" b="1">
            <a:latin typeface="Calibri" panose="020F0502020204030204" pitchFamily="34" charset="0"/>
            <a:cs typeface="Calibri" panose="020F0502020204030204" pitchFamily="34" charset="0"/>
          </a:endParaRPr>
        </a:p>
      </xdr:txBody>
    </xdr:sp>
    <xdr:clientData/>
  </xdr:twoCellAnchor>
  <xdr:twoCellAnchor>
    <xdr:from>
      <xdr:col>9</xdr:col>
      <xdr:colOff>73086</xdr:colOff>
      <xdr:row>106</xdr:row>
      <xdr:rowOff>43330</xdr:rowOff>
    </xdr:from>
    <xdr:to>
      <xdr:col>9</xdr:col>
      <xdr:colOff>577911</xdr:colOff>
      <xdr:row>107</xdr:row>
      <xdr:rowOff>154781</xdr:rowOff>
    </xdr:to>
    <xdr:sp macro="" textlink="">
      <xdr:nvSpPr>
        <xdr:cNvPr id="35" name="CuadroTexto 34">
          <a:extLst>
            <a:ext uri="{FF2B5EF4-FFF2-40B4-BE49-F238E27FC236}">
              <a16:creationId xmlns:a16="http://schemas.microsoft.com/office/drawing/2014/main" id="{7AE9EABA-D02D-4990-9E53-4C7E3FC3B798}"/>
            </a:ext>
          </a:extLst>
        </xdr:cNvPr>
        <xdr:cNvSpPr txBox="1"/>
      </xdr:nvSpPr>
      <xdr:spPr>
        <a:xfrm>
          <a:off x="6931086" y="20236330"/>
          <a:ext cx="504825" cy="3019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0</xdr:col>
      <xdr:colOff>212911</xdr:colOff>
      <xdr:row>104</xdr:row>
      <xdr:rowOff>98360</xdr:rowOff>
    </xdr:from>
    <xdr:to>
      <xdr:col>18</xdr:col>
      <xdr:colOff>78440</xdr:colOff>
      <xdr:row>106</xdr:row>
      <xdr:rowOff>119073</xdr:rowOff>
    </xdr:to>
    <xdr:sp macro="" textlink="">
      <xdr:nvSpPr>
        <xdr:cNvPr id="36" name="Abrir llave 35">
          <a:extLst>
            <a:ext uri="{FF2B5EF4-FFF2-40B4-BE49-F238E27FC236}">
              <a16:creationId xmlns:a16="http://schemas.microsoft.com/office/drawing/2014/main" id="{BFA737E9-F35B-4AB1-B1FE-3B6B13B9ED73}"/>
            </a:ext>
          </a:extLst>
        </xdr:cNvPr>
        <xdr:cNvSpPr/>
      </xdr:nvSpPr>
      <xdr:spPr>
        <a:xfrm rot="5400000" flipH="1">
          <a:off x="6802819" y="13320452"/>
          <a:ext cx="401713" cy="13581529"/>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xdr:col>
      <xdr:colOff>759171</xdr:colOff>
      <xdr:row>87</xdr:row>
      <xdr:rowOff>325359</xdr:rowOff>
    </xdr:from>
    <xdr:to>
      <xdr:col>1</xdr:col>
      <xdr:colOff>973665</xdr:colOff>
      <xdr:row>87</xdr:row>
      <xdr:rowOff>328083</xdr:rowOff>
    </xdr:to>
    <xdr:cxnSp macro="">
      <xdr:nvCxnSpPr>
        <xdr:cNvPr id="37" name="Conector recto de flecha 36">
          <a:extLst>
            <a:ext uri="{FF2B5EF4-FFF2-40B4-BE49-F238E27FC236}">
              <a16:creationId xmlns:a16="http://schemas.microsoft.com/office/drawing/2014/main" id="{31867ECB-DF2F-4AA8-BD48-C68611F83917}"/>
            </a:ext>
          </a:extLst>
        </xdr:cNvPr>
        <xdr:cNvCxnSpPr/>
      </xdr:nvCxnSpPr>
      <xdr:spPr>
        <a:xfrm>
          <a:off x="1521171" y="16765509"/>
          <a:ext cx="4944" cy="2724"/>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551695</xdr:colOff>
      <xdr:row>87</xdr:row>
      <xdr:rowOff>584703</xdr:rowOff>
    </xdr:from>
    <xdr:to>
      <xdr:col>1</xdr:col>
      <xdr:colOff>556452</xdr:colOff>
      <xdr:row>87</xdr:row>
      <xdr:rowOff>777550</xdr:rowOff>
    </xdr:to>
    <xdr:cxnSp macro="">
      <xdr:nvCxnSpPr>
        <xdr:cNvPr id="38" name="Conector recto de flecha 37">
          <a:extLst>
            <a:ext uri="{FF2B5EF4-FFF2-40B4-BE49-F238E27FC236}">
              <a16:creationId xmlns:a16="http://schemas.microsoft.com/office/drawing/2014/main" id="{AAEDEC0A-94B0-4551-B4EA-197AA35D31EB}"/>
            </a:ext>
          </a:extLst>
        </xdr:cNvPr>
        <xdr:cNvCxnSpPr/>
      </xdr:nvCxnSpPr>
      <xdr:spPr>
        <a:xfrm>
          <a:off x="1313695" y="16767678"/>
          <a:ext cx="4757"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428626</xdr:colOff>
      <xdr:row>126</xdr:row>
      <xdr:rowOff>95251</xdr:rowOff>
    </xdr:from>
    <xdr:to>
      <xdr:col>18</xdr:col>
      <xdr:colOff>933451</xdr:colOff>
      <xdr:row>128</xdr:row>
      <xdr:rowOff>57151</xdr:rowOff>
    </xdr:to>
    <xdr:sp macro="" textlink="">
      <xdr:nvSpPr>
        <xdr:cNvPr id="39" name="CuadroTexto 38">
          <a:extLst>
            <a:ext uri="{FF2B5EF4-FFF2-40B4-BE49-F238E27FC236}">
              <a16:creationId xmlns:a16="http://schemas.microsoft.com/office/drawing/2014/main" id="{96D59C8C-657C-4BA3-81E4-B2CEF0B99F43}"/>
            </a:ext>
          </a:extLst>
        </xdr:cNvPr>
        <xdr:cNvSpPr txBox="1"/>
      </xdr:nvSpPr>
      <xdr:spPr>
        <a:xfrm>
          <a:off x="14144626" y="24098251"/>
          <a:ext cx="33337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18</xdr:col>
      <xdr:colOff>71438</xdr:colOff>
      <xdr:row>125</xdr:row>
      <xdr:rowOff>119061</xdr:rowOff>
    </xdr:from>
    <xdr:to>
      <xdr:col>19</xdr:col>
      <xdr:colOff>35719</xdr:colOff>
      <xdr:row>126</xdr:row>
      <xdr:rowOff>144537</xdr:rowOff>
    </xdr:to>
    <xdr:sp macro="" textlink="">
      <xdr:nvSpPr>
        <xdr:cNvPr id="40" name="Abrir llave 39">
          <a:extLst>
            <a:ext uri="{FF2B5EF4-FFF2-40B4-BE49-F238E27FC236}">
              <a16:creationId xmlns:a16="http://schemas.microsoft.com/office/drawing/2014/main" id="{33B6CB3E-193E-4294-B780-57322E3D3826}"/>
            </a:ext>
          </a:extLst>
        </xdr:cNvPr>
        <xdr:cNvSpPr/>
      </xdr:nvSpPr>
      <xdr:spPr>
        <a:xfrm rot="5400000" flipH="1">
          <a:off x="14042591" y="23676408"/>
          <a:ext cx="215976" cy="726281"/>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2</xdr:col>
      <xdr:colOff>190501</xdr:colOff>
      <xdr:row>145</xdr:row>
      <xdr:rowOff>11907</xdr:rowOff>
    </xdr:from>
    <xdr:to>
      <xdr:col>2</xdr:col>
      <xdr:colOff>695326</xdr:colOff>
      <xdr:row>146</xdr:row>
      <xdr:rowOff>164307</xdr:rowOff>
    </xdr:to>
    <xdr:sp macro="" textlink="">
      <xdr:nvSpPr>
        <xdr:cNvPr id="41" name="CuadroTexto 40">
          <a:extLst>
            <a:ext uri="{FF2B5EF4-FFF2-40B4-BE49-F238E27FC236}">
              <a16:creationId xmlns:a16="http://schemas.microsoft.com/office/drawing/2014/main" id="{77C47651-D981-46FD-AA2B-7B900A62D08C}"/>
            </a:ext>
          </a:extLst>
        </xdr:cNvPr>
        <xdr:cNvSpPr txBox="1"/>
      </xdr:nvSpPr>
      <xdr:spPr>
        <a:xfrm>
          <a:off x="1714501" y="27634407"/>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2</xdr:col>
      <xdr:colOff>23814</xdr:colOff>
      <xdr:row>143</xdr:row>
      <xdr:rowOff>178594</xdr:rowOff>
    </xdr:from>
    <xdr:to>
      <xdr:col>2</xdr:col>
      <xdr:colOff>771528</xdr:colOff>
      <xdr:row>145</xdr:row>
      <xdr:rowOff>37381</xdr:rowOff>
    </xdr:to>
    <xdr:sp macro="" textlink="">
      <xdr:nvSpPr>
        <xdr:cNvPr id="42" name="Abrir llave 41">
          <a:extLst>
            <a:ext uri="{FF2B5EF4-FFF2-40B4-BE49-F238E27FC236}">
              <a16:creationId xmlns:a16="http://schemas.microsoft.com/office/drawing/2014/main" id="{921475F3-220F-4529-B080-278BF5624248}"/>
            </a:ext>
          </a:extLst>
        </xdr:cNvPr>
        <xdr:cNvSpPr/>
      </xdr:nvSpPr>
      <xdr:spPr>
        <a:xfrm rot="5400000" flipH="1">
          <a:off x="1797015" y="27170893"/>
          <a:ext cx="239787" cy="738189"/>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3</xdr:col>
      <xdr:colOff>890589</xdr:colOff>
      <xdr:row>143</xdr:row>
      <xdr:rowOff>176212</xdr:rowOff>
    </xdr:from>
    <xdr:to>
      <xdr:col>4</xdr:col>
      <xdr:colOff>1138240</xdr:colOff>
      <xdr:row>145</xdr:row>
      <xdr:rowOff>34999</xdr:rowOff>
    </xdr:to>
    <xdr:sp macro="" textlink="">
      <xdr:nvSpPr>
        <xdr:cNvPr id="43" name="Abrir llave 42">
          <a:extLst>
            <a:ext uri="{FF2B5EF4-FFF2-40B4-BE49-F238E27FC236}">
              <a16:creationId xmlns:a16="http://schemas.microsoft.com/office/drawing/2014/main" id="{EF8B1162-23D6-434A-9195-AC57E62BB31E}"/>
            </a:ext>
          </a:extLst>
        </xdr:cNvPr>
        <xdr:cNvSpPr/>
      </xdr:nvSpPr>
      <xdr:spPr>
        <a:xfrm rot="5400000" flipH="1">
          <a:off x="3304346" y="27156605"/>
          <a:ext cx="239787" cy="762001"/>
        </a:xfrm>
        <a:prstGeom prst="leftBrace">
          <a:avLst>
            <a:gd name="adj1" fmla="val 8333"/>
            <a:gd name="adj2" fmla="val 45983"/>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4</xdr:col>
      <xdr:colOff>247651</xdr:colOff>
      <xdr:row>145</xdr:row>
      <xdr:rowOff>9526</xdr:rowOff>
    </xdr:from>
    <xdr:to>
      <xdr:col>4</xdr:col>
      <xdr:colOff>752476</xdr:colOff>
      <xdr:row>146</xdr:row>
      <xdr:rowOff>161926</xdr:rowOff>
    </xdr:to>
    <xdr:sp macro="" textlink="">
      <xdr:nvSpPr>
        <xdr:cNvPr id="44" name="CuadroTexto 43">
          <a:extLst>
            <a:ext uri="{FF2B5EF4-FFF2-40B4-BE49-F238E27FC236}">
              <a16:creationId xmlns:a16="http://schemas.microsoft.com/office/drawing/2014/main" id="{36512AE2-FD17-4AA6-8AA1-5C02A7C77252}"/>
            </a:ext>
          </a:extLst>
        </xdr:cNvPr>
        <xdr:cNvSpPr txBox="1"/>
      </xdr:nvSpPr>
      <xdr:spPr>
        <a:xfrm>
          <a:off x="3295651" y="27632026"/>
          <a:ext cx="5048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5</xdr:col>
      <xdr:colOff>369093</xdr:colOff>
      <xdr:row>134</xdr:row>
      <xdr:rowOff>35718</xdr:rowOff>
    </xdr:from>
    <xdr:to>
      <xdr:col>5</xdr:col>
      <xdr:colOff>966787</xdr:colOff>
      <xdr:row>136</xdr:row>
      <xdr:rowOff>111918</xdr:rowOff>
    </xdr:to>
    <xdr:sp macro="" textlink="">
      <xdr:nvSpPr>
        <xdr:cNvPr id="45" name="Flecha: a la derecha 44">
          <a:extLst>
            <a:ext uri="{FF2B5EF4-FFF2-40B4-BE49-F238E27FC236}">
              <a16:creationId xmlns:a16="http://schemas.microsoft.com/office/drawing/2014/main" id="{333131C7-120B-4F03-ADFA-308402757458}"/>
            </a:ext>
          </a:extLst>
        </xdr:cNvPr>
        <xdr:cNvSpPr/>
      </xdr:nvSpPr>
      <xdr:spPr>
        <a:xfrm>
          <a:off x="4179093" y="25562718"/>
          <a:ext cx="397669" cy="4572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154780</xdr:colOff>
      <xdr:row>132</xdr:row>
      <xdr:rowOff>164306</xdr:rowOff>
    </xdr:from>
    <xdr:to>
      <xdr:col>11</xdr:col>
      <xdr:colOff>714375</xdr:colOff>
      <xdr:row>134</xdr:row>
      <xdr:rowOff>95249</xdr:rowOff>
    </xdr:to>
    <xdr:sp macro="" textlink="">
      <xdr:nvSpPr>
        <xdr:cNvPr id="46" name="Es igual a 45">
          <a:extLst>
            <a:ext uri="{FF2B5EF4-FFF2-40B4-BE49-F238E27FC236}">
              <a16:creationId xmlns:a16="http://schemas.microsoft.com/office/drawing/2014/main" id="{F052A002-DE10-4EFE-9921-9EE74EE3AAD1}"/>
            </a:ext>
          </a:extLst>
        </xdr:cNvPr>
        <xdr:cNvSpPr/>
      </xdr:nvSpPr>
      <xdr:spPr>
        <a:xfrm>
          <a:off x="8536780" y="25310306"/>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11</xdr:col>
      <xdr:colOff>164305</xdr:colOff>
      <xdr:row>130</xdr:row>
      <xdr:rowOff>102393</xdr:rowOff>
    </xdr:from>
    <xdr:to>
      <xdr:col>11</xdr:col>
      <xdr:colOff>723900</xdr:colOff>
      <xdr:row>132</xdr:row>
      <xdr:rowOff>33336</xdr:rowOff>
    </xdr:to>
    <xdr:sp macro="" textlink="">
      <xdr:nvSpPr>
        <xdr:cNvPr id="47" name="Es igual a 46">
          <a:extLst>
            <a:ext uri="{FF2B5EF4-FFF2-40B4-BE49-F238E27FC236}">
              <a16:creationId xmlns:a16="http://schemas.microsoft.com/office/drawing/2014/main" id="{F3F37BBF-DD71-454C-B609-6174CC74D92C}"/>
            </a:ext>
          </a:extLst>
        </xdr:cNvPr>
        <xdr:cNvSpPr/>
      </xdr:nvSpPr>
      <xdr:spPr>
        <a:xfrm>
          <a:off x="8546305" y="24867393"/>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11</xdr:col>
      <xdr:colOff>150017</xdr:colOff>
      <xdr:row>134</xdr:row>
      <xdr:rowOff>147637</xdr:rowOff>
    </xdr:from>
    <xdr:to>
      <xdr:col>11</xdr:col>
      <xdr:colOff>709612</xdr:colOff>
      <xdr:row>136</xdr:row>
      <xdr:rowOff>66674</xdr:rowOff>
    </xdr:to>
    <xdr:sp macro="" textlink="">
      <xdr:nvSpPr>
        <xdr:cNvPr id="48" name="Es igual a 47">
          <a:extLst>
            <a:ext uri="{FF2B5EF4-FFF2-40B4-BE49-F238E27FC236}">
              <a16:creationId xmlns:a16="http://schemas.microsoft.com/office/drawing/2014/main" id="{AFA07FD2-26AB-4596-B7C0-404C31134928}"/>
            </a:ext>
          </a:extLst>
        </xdr:cNvPr>
        <xdr:cNvSpPr/>
      </xdr:nvSpPr>
      <xdr:spPr>
        <a:xfrm>
          <a:off x="8532017" y="25674637"/>
          <a:ext cx="559595" cy="3000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13</xdr:col>
      <xdr:colOff>0</xdr:colOff>
      <xdr:row>129</xdr:row>
      <xdr:rowOff>130967</xdr:rowOff>
    </xdr:from>
    <xdr:to>
      <xdr:col>14</xdr:col>
      <xdr:colOff>338139</xdr:colOff>
      <xdr:row>133</xdr:row>
      <xdr:rowOff>178592</xdr:rowOff>
    </xdr:to>
    <xdr:sp macro="" textlink="">
      <xdr:nvSpPr>
        <xdr:cNvPr id="49" name="CuadroTexto 48">
          <a:extLst>
            <a:ext uri="{FF2B5EF4-FFF2-40B4-BE49-F238E27FC236}">
              <a16:creationId xmlns:a16="http://schemas.microsoft.com/office/drawing/2014/main" id="{FA40A1A9-543E-4891-BF46-1E89C41F2482}"/>
            </a:ext>
          </a:extLst>
        </xdr:cNvPr>
        <xdr:cNvSpPr txBox="1"/>
      </xdr:nvSpPr>
      <xdr:spPr>
        <a:xfrm>
          <a:off x="9906000" y="24705467"/>
          <a:ext cx="110013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impactos ambientales directos es:</a:t>
          </a:r>
          <a:endParaRPr lang="es-CO" sz="1100" b="1">
            <a:latin typeface="Calibri" panose="020F0502020204030204" pitchFamily="34" charset="0"/>
            <a:cs typeface="Calibri" panose="020F0502020204030204" pitchFamily="34" charset="0"/>
          </a:endParaRPr>
        </a:p>
      </xdr:txBody>
    </xdr:sp>
    <xdr:clientData/>
  </xdr:twoCellAnchor>
  <xdr:twoCellAnchor>
    <xdr:from>
      <xdr:col>13</xdr:col>
      <xdr:colOff>256981</xdr:colOff>
      <xdr:row>133</xdr:row>
      <xdr:rowOff>128729</xdr:rowOff>
    </xdr:from>
    <xdr:to>
      <xdr:col>13</xdr:col>
      <xdr:colOff>517865</xdr:colOff>
      <xdr:row>135</xdr:row>
      <xdr:rowOff>17979</xdr:rowOff>
    </xdr:to>
    <xdr:sp macro="" textlink="">
      <xdr:nvSpPr>
        <xdr:cNvPr id="50" name="Flecha: a la derecha 49">
          <a:extLst>
            <a:ext uri="{FF2B5EF4-FFF2-40B4-BE49-F238E27FC236}">
              <a16:creationId xmlns:a16="http://schemas.microsoft.com/office/drawing/2014/main" id="{59E77DD5-C02E-4A90-8814-F3800D5B3951}"/>
            </a:ext>
          </a:extLst>
        </xdr:cNvPr>
        <xdr:cNvSpPr/>
      </xdr:nvSpPr>
      <xdr:spPr>
        <a:xfrm rot="5400000">
          <a:off x="10158298" y="2546991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250031</xdr:colOff>
      <xdr:row>77</xdr:row>
      <xdr:rowOff>119063</xdr:rowOff>
    </xdr:from>
    <xdr:to>
      <xdr:col>13</xdr:col>
      <xdr:colOff>510915</xdr:colOff>
      <xdr:row>79</xdr:row>
      <xdr:rowOff>8313</xdr:rowOff>
    </xdr:to>
    <xdr:sp macro="" textlink="">
      <xdr:nvSpPr>
        <xdr:cNvPr id="51" name="Flecha: a la derecha 50">
          <a:extLst>
            <a:ext uri="{FF2B5EF4-FFF2-40B4-BE49-F238E27FC236}">
              <a16:creationId xmlns:a16="http://schemas.microsoft.com/office/drawing/2014/main" id="{75D460E1-7327-463E-8097-337C94DB733E}"/>
            </a:ext>
          </a:extLst>
        </xdr:cNvPr>
        <xdr:cNvSpPr/>
      </xdr:nvSpPr>
      <xdr:spPr>
        <a:xfrm rot="5400000">
          <a:off x="10151348" y="14792246"/>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678656</xdr:colOff>
      <xdr:row>154</xdr:row>
      <xdr:rowOff>154784</xdr:rowOff>
    </xdr:from>
    <xdr:to>
      <xdr:col>3</xdr:col>
      <xdr:colOff>380998</xdr:colOff>
      <xdr:row>156</xdr:row>
      <xdr:rowOff>83347</xdr:rowOff>
    </xdr:to>
    <xdr:sp macro="" textlink="">
      <xdr:nvSpPr>
        <xdr:cNvPr id="52" name="CuadroTexto 51">
          <a:extLst>
            <a:ext uri="{FF2B5EF4-FFF2-40B4-BE49-F238E27FC236}">
              <a16:creationId xmlns:a16="http://schemas.microsoft.com/office/drawing/2014/main" id="{99FF89A5-6EF1-4400-A76F-252A1A31414F}"/>
            </a:ext>
          </a:extLst>
        </xdr:cNvPr>
        <xdr:cNvSpPr txBox="1"/>
      </xdr:nvSpPr>
      <xdr:spPr>
        <a:xfrm>
          <a:off x="2202656" y="29491784"/>
          <a:ext cx="464342"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0</xdr:col>
      <xdr:colOff>154781</xdr:colOff>
      <xdr:row>153</xdr:row>
      <xdr:rowOff>11906</xdr:rowOff>
    </xdr:from>
    <xdr:to>
      <xdr:col>4</xdr:col>
      <xdr:colOff>1154906</xdr:colOff>
      <xdr:row>155</xdr:row>
      <xdr:rowOff>32619</xdr:rowOff>
    </xdr:to>
    <xdr:sp macro="" textlink="">
      <xdr:nvSpPr>
        <xdr:cNvPr id="53" name="Abrir llave 52">
          <a:extLst>
            <a:ext uri="{FF2B5EF4-FFF2-40B4-BE49-F238E27FC236}">
              <a16:creationId xmlns:a16="http://schemas.microsoft.com/office/drawing/2014/main" id="{7E386ED2-2A1D-4654-9DB4-AAC77BAA3FBC}"/>
            </a:ext>
          </a:extLst>
        </xdr:cNvPr>
        <xdr:cNvSpPr/>
      </xdr:nvSpPr>
      <xdr:spPr>
        <a:xfrm rot="5400000" flipH="1">
          <a:off x="1782724" y="27530463"/>
          <a:ext cx="401713" cy="3657600"/>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8</xdr:col>
      <xdr:colOff>0</xdr:colOff>
      <xdr:row>152</xdr:row>
      <xdr:rowOff>735805</xdr:rowOff>
    </xdr:from>
    <xdr:to>
      <xdr:col>9</xdr:col>
      <xdr:colOff>104776</xdr:colOff>
      <xdr:row>154</xdr:row>
      <xdr:rowOff>161206</xdr:rowOff>
    </xdr:to>
    <xdr:sp macro="" textlink="">
      <xdr:nvSpPr>
        <xdr:cNvPr id="54" name="Abrir llave 53">
          <a:extLst>
            <a:ext uri="{FF2B5EF4-FFF2-40B4-BE49-F238E27FC236}">
              <a16:creationId xmlns:a16="http://schemas.microsoft.com/office/drawing/2014/main" id="{CC1FD2F8-6185-467C-A5A6-DFFD2731953A}"/>
            </a:ext>
          </a:extLst>
        </xdr:cNvPr>
        <xdr:cNvSpPr/>
      </xdr:nvSpPr>
      <xdr:spPr>
        <a:xfrm rot="5400000" flipH="1">
          <a:off x="6354725" y="28890155"/>
          <a:ext cx="349326" cy="866776"/>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8</xdr:col>
      <xdr:colOff>307181</xdr:colOff>
      <xdr:row>154</xdr:row>
      <xdr:rowOff>164310</xdr:rowOff>
    </xdr:from>
    <xdr:to>
      <xdr:col>8</xdr:col>
      <xdr:colOff>795336</xdr:colOff>
      <xdr:row>156</xdr:row>
      <xdr:rowOff>92873</xdr:rowOff>
    </xdr:to>
    <xdr:sp macro="" textlink="">
      <xdr:nvSpPr>
        <xdr:cNvPr id="55" name="CuadroTexto 54">
          <a:extLst>
            <a:ext uri="{FF2B5EF4-FFF2-40B4-BE49-F238E27FC236}">
              <a16:creationId xmlns:a16="http://schemas.microsoft.com/office/drawing/2014/main" id="{A0EC83DB-3434-45F4-B98F-62C8035387AA}"/>
            </a:ext>
          </a:extLst>
        </xdr:cNvPr>
        <xdr:cNvSpPr txBox="1"/>
      </xdr:nvSpPr>
      <xdr:spPr>
        <a:xfrm>
          <a:off x="6403181" y="29501310"/>
          <a:ext cx="459580"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10</xdr:col>
      <xdr:colOff>747713</xdr:colOff>
      <xdr:row>152</xdr:row>
      <xdr:rowOff>769143</xdr:rowOff>
    </xdr:from>
    <xdr:to>
      <xdr:col>12</xdr:col>
      <xdr:colOff>102394</xdr:colOff>
      <xdr:row>155</xdr:row>
      <xdr:rowOff>4044</xdr:rowOff>
    </xdr:to>
    <xdr:sp macro="" textlink="">
      <xdr:nvSpPr>
        <xdr:cNvPr id="56" name="Abrir llave 55">
          <a:extLst>
            <a:ext uri="{FF2B5EF4-FFF2-40B4-BE49-F238E27FC236}">
              <a16:creationId xmlns:a16="http://schemas.microsoft.com/office/drawing/2014/main" id="{BEDE8ABC-7D5D-4D86-9D49-63A1189AB03E}"/>
            </a:ext>
          </a:extLst>
        </xdr:cNvPr>
        <xdr:cNvSpPr/>
      </xdr:nvSpPr>
      <xdr:spPr>
        <a:xfrm rot="5400000" flipH="1">
          <a:off x="8613341" y="28898490"/>
          <a:ext cx="387426" cy="878681"/>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11</xdr:col>
      <xdr:colOff>173831</xdr:colOff>
      <xdr:row>155</xdr:row>
      <xdr:rowOff>7148</xdr:rowOff>
    </xdr:from>
    <xdr:to>
      <xdr:col>11</xdr:col>
      <xdr:colOff>661986</xdr:colOff>
      <xdr:row>156</xdr:row>
      <xdr:rowOff>126211</xdr:rowOff>
    </xdr:to>
    <xdr:sp macro="" textlink="">
      <xdr:nvSpPr>
        <xdr:cNvPr id="57" name="CuadroTexto 56">
          <a:extLst>
            <a:ext uri="{FF2B5EF4-FFF2-40B4-BE49-F238E27FC236}">
              <a16:creationId xmlns:a16="http://schemas.microsoft.com/office/drawing/2014/main" id="{A6FE87F4-15E2-446A-81DA-219C2FF07052}"/>
            </a:ext>
          </a:extLst>
        </xdr:cNvPr>
        <xdr:cNvSpPr txBox="1"/>
      </xdr:nvSpPr>
      <xdr:spPr>
        <a:xfrm>
          <a:off x="8555831" y="29534648"/>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13</xdr:col>
      <xdr:colOff>90487</xdr:colOff>
      <xdr:row>152</xdr:row>
      <xdr:rowOff>695324</xdr:rowOff>
    </xdr:from>
    <xdr:to>
      <xdr:col>14</xdr:col>
      <xdr:colOff>111919</xdr:colOff>
      <xdr:row>154</xdr:row>
      <xdr:rowOff>120725</xdr:rowOff>
    </xdr:to>
    <xdr:sp macro="" textlink="">
      <xdr:nvSpPr>
        <xdr:cNvPr id="58" name="Abrir llave 57">
          <a:extLst>
            <a:ext uri="{FF2B5EF4-FFF2-40B4-BE49-F238E27FC236}">
              <a16:creationId xmlns:a16="http://schemas.microsoft.com/office/drawing/2014/main" id="{71061D98-6CB1-445D-9548-8D0321B7C35C}"/>
            </a:ext>
          </a:extLst>
        </xdr:cNvPr>
        <xdr:cNvSpPr/>
      </xdr:nvSpPr>
      <xdr:spPr>
        <a:xfrm rot="5400000" flipH="1">
          <a:off x="10232590" y="28910396"/>
          <a:ext cx="311226" cy="78343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13</xdr:col>
      <xdr:colOff>397668</xdr:colOff>
      <xdr:row>154</xdr:row>
      <xdr:rowOff>123829</xdr:rowOff>
    </xdr:from>
    <xdr:to>
      <xdr:col>13</xdr:col>
      <xdr:colOff>885823</xdr:colOff>
      <xdr:row>156</xdr:row>
      <xdr:rowOff>52392</xdr:rowOff>
    </xdr:to>
    <xdr:sp macro="" textlink="">
      <xdr:nvSpPr>
        <xdr:cNvPr id="59" name="CuadroTexto 58">
          <a:extLst>
            <a:ext uri="{FF2B5EF4-FFF2-40B4-BE49-F238E27FC236}">
              <a16:creationId xmlns:a16="http://schemas.microsoft.com/office/drawing/2014/main" id="{704728EA-FA23-415E-B5EA-5102DAD6BFBB}"/>
            </a:ext>
          </a:extLst>
        </xdr:cNvPr>
        <xdr:cNvSpPr txBox="1"/>
      </xdr:nvSpPr>
      <xdr:spPr>
        <a:xfrm>
          <a:off x="10303668" y="29460829"/>
          <a:ext cx="364330"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14</xdr:col>
      <xdr:colOff>190500</xdr:colOff>
      <xdr:row>151</xdr:row>
      <xdr:rowOff>214313</xdr:rowOff>
    </xdr:from>
    <xdr:to>
      <xdr:col>15</xdr:col>
      <xdr:colOff>26194</xdr:colOff>
      <xdr:row>152</xdr:row>
      <xdr:rowOff>52387</xdr:rowOff>
    </xdr:to>
    <xdr:sp macro="" textlink="">
      <xdr:nvSpPr>
        <xdr:cNvPr id="60" name="Flecha: a la derecha 59">
          <a:extLst>
            <a:ext uri="{FF2B5EF4-FFF2-40B4-BE49-F238E27FC236}">
              <a16:creationId xmlns:a16="http://schemas.microsoft.com/office/drawing/2014/main" id="{B040F4FA-52CE-402E-AA8D-0F96A7A4B20C}"/>
            </a:ext>
          </a:extLst>
        </xdr:cNvPr>
        <xdr:cNvSpPr/>
      </xdr:nvSpPr>
      <xdr:spPr>
        <a:xfrm>
          <a:off x="10858500" y="28951238"/>
          <a:ext cx="597694" cy="57149"/>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154780</xdr:colOff>
      <xdr:row>160</xdr:row>
      <xdr:rowOff>164306</xdr:rowOff>
    </xdr:from>
    <xdr:to>
      <xdr:col>6</xdr:col>
      <xdr:colOff>714375</xdr:colOff>
      <xdr:row>162</xdr:row>
      <xdr:rowOff>95249</xdr:rowOff>
    </xdr:to>
    <xdr:sp macro="" textlink="">
      <xdr:nvSpPr>
        <xdr:cNvPr id="61" name="Es igual a 60">
          <a:extLst>
            <a:ext uri="{FF2B5EF4-FFF2-40B4-BE49-F238E27FC236}">
              <a16:creationId xmlns:a16="http://schemas.microsoft.com/office/drawing/2014/main" id="{BF00D1F8-840C-4698-8133-D1BE7F6C9B15}"/>
            </a:ext>
          </a:extLst>
        </xdr:cNvPr>
        <xdr:cNvSpPr/>
      </xdr:nvSpPr>
      <xdr:spPr>
        <a:xfrm>
          <a:off x="4726780" y="30644306"/>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164305</xdr:colOff>
      <xdr:row>158</xdr:row>
      <xdr:rowOff>102393</xdr:rowOff>
    </xdr:from>
    <xdr:to>
      <xdr:col>6</xdr:col>
      <xdr:colOff>723900</xdr:colOff>
      <xdr:row>160</xdr:row>
      <xdr:rowOff>33336</xdr:rowOff>
    </xdr:to>
    <xdr:sp macro="" textlink="">
      <xdr:nvSpPr>
        <xdr:cNvPr id="62" name="Es igual a 61">
          <a:extLst>
            <a:ext uri="{FF2B5EF4-FFF2-40B4-BE49-F238E27FC236}">
              <a16:creationId xmlns:a16="http://schemas.microsoft.com/office/drawing/2014/main" id="{3A71A005-074C-40A8-8D33-2B147E16B53C}"/>
            </a:ext>
          </a:extLst>
        </xdr:cNvPr>
        <xdr:cNvSpPr/>
      </xdr:nvSpPr>
      <xdr:spPr>
        <a:xfrm>
          <a:off x="4736305" y="30201393"/>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150017</xdr:colOff>
      <xdr:row>162</xdr:row>
      <xdr:rowOff>147637</xdr:rowOff>
    </xdr:from>
    <xdr:to>
      <xdr:col>6</xdr:col>
      <xdr:colOff>709612</xdr:colOff>
      <xdr:row>164</xdr:row>
      <xdr:rowOff>66674</xdr:rowOff>
    </xdr:to>
    <xdr:sp macro="" textlink="">
      <xdr:nvSpPr>
        <xdr:cNvPr id="63" name="Es igual a 62">
          <a:extLst>
            <a:ext uri="{FF2B5EF4-FFF2-40B4-BE49-F238E27FC236}">
              <a16:creationId xmlns:a16="http://schemas.microsoft.com/office/drawing/2014/main" id="{C15CAE01-1CCE-4092-8A70-3AF7E4A16590}"/>
            </a:ext>
          </a:extLst>
        </xdr:cNvPr>
        <xdr:cNvSpPr/>
      </xdr:nvSpPr>
      <xdr:spPr>
        <a:xfrm>
          <a:off x="4722017" y="31008637"/>
          <a:ext cx="559595" cy="3000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0</xdr:colOff>
      <xdr:row>157</xdr:row>
      <xdr:rowOff>130967</xdr:rowOff>
    </xdr:from>
    <xdr:to>
      <xdr:col>9</xdr:col>
      <xdr:colOff>338139</xdr:colOff>
      <xdr:row>161</xdr:row>
      <xdr:rowOff>178592</xdr:rowOff>
    </xdr:to>
    <xdr:sp macro="" textlink="">
      <xdr:nvSpPr>
        <xdr:cNvPr id="64" name="CuadroTexto 63">
          <a:extLst>
            <a:ext uri="{FF2B5EF4-FFF2-40B4-BE49-F238E27FC236}">
              <a16:creationId xmlns:a16="http://schemas.microsoft.com/office/drawing/2014/main" id="{F38518C4-19BE-4622-A9B2-7A82A8DA8830}"/>
            </a:ext>
          </a:extLst>
        </xdr:cNvPr>
        <xdr:cNvSpPr txBox="1"/>
      </xdr:nvSpPr>
      <xdr:spPr>
        <a:xfrm>
          <a:off x="6096000" y="30039467"/>
          <a:ext cx="110013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contexto empresarial </a:t>
          </a:r>
        </a:p>
        <a:p>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8</xdr:col>
      <xdr:colOff>256981</xdr:colOff>
      <xdr:row>161</xdr:row>
      <xdr:rowOff>128729</xdr:rowOff>
    </xdr:from>
    <xdr:to>
      <xdr:col>8</xdr:col>
      <xdr:colOff>517865</xdr:colOff>
      <xdr:row>163</xdr:row>
      <xdr:rowOff>17979</xdr:rowOff>
    </xdr:to>
    <xdr:sp macro="" textlink="">
      <xdr:nvSpPr>
        <xdr:cNvPr id="65" name="Flecha: a la derecha 64">
          <a:extLst>
            <a:ext uri="{FF2B5EF4-FFF2-40B4-BE49-F238E27FC236}">
              <a16:creationId xmlns:a16="http://schemas.microsoft.com/office/drawing/2014/main" id="{45BEE5B4-60EE-4CB3-AC80-444D34123833}"/>
            </a:ext>
          </a:extLst>
        </xdr:cNvPr>
        <xdr:cNvSpPr/>
      </xdr:nvSpPr>
      <xdr:spPr>
        <a:xfrm rot="5400000">
          <a:off x="6348298" y="3080391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333375</xdr:colOff>
      <xdr:row>177</xdr:row>
      <xdr:rowOff>133353</xdr:rowOff>
    </xdr:from>
    <xdr:to>
      <xdr:col>4</xdr:col>
      <xdr:colOff>1139502</xdr:colOff>
      <xdr:row>179</xdr:row>
      <xdr:rowOff>59530</xdr:rowOff>
    </xdr:to>
    <xdr:sp macro="" textlink="">
      <xdr:nvSpPr>
        <xdr:cNvPr id="66" name="CuadroTexto 65">
          <a:extLst>
            <a:ext uri="{FF2B5EF4-FFF2-40B4-BE49-F238E27FC236}">
              <a16:creationId xmlns:a16="http://schemas.microsoft.com/office/drawing/2014/main" id="{B283A63B-DF1A-4417-98FB-AA0C763F04BA}"/>
            </a:ext>
          </a:extLst>
        </xdr:cNvPr>
        <xdr:cNvSpPr txBox="1"/>
      </xdr:nvSpPr>
      <xdr:spPr>
        <a:xfrm>
          <a:off x="3381375" y="33851853"/>
          <a:ext cx="425127" cy="3071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0</xdr:colOff>
      <xdr:row>175</xdr:row>
      <xdr:rowOff>121444</xdr:rowOff>
    </xdr:from>
    <xdr:to>
      <xdr:col>8</xdr:col>
      <xdr:colOff>-1</xdr:colOff>
      <xdr:row>177</xdr:row>
      <xdr:rowOff>142157</xdr:rowOff>
    </xdr:to>
    <xdr:sp macro="" textlink="">
      <xdr:nvSpPr>
        <xdr:cNvPr id="67" name="Abrir llave 66">
          <a:extLst>
            <a:ext uri="{FF2B5EF4-FFF2-40B4-BE49-F238E27FC236}">
              <a16:creationId xmlns:a16="http://schemas.microsoft.com/office/drawing/2014/main" id="{1DD78D7B-8506-4622-B53F-8E1C59B8E936}"/>
            </a:ext>
          </a:extLst>
        </xdr:cNvPr>
        <xdr:cNvSpPr/>
      </xdr:nvSpPr>
      <xdr:spPr>
        <a:xfrm rot="5400000" flipH="1">
          <a:off x="3228143" y="30992801"/>
          <a:ext cx="401713" cy="5333999"/>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35720</xdr:colOff>
      <xdr:row>174</xdr:row>
      <xdr:rowOff>142874</xdr:rowOff>
    </xdr:from>
    <xdr:to>
      <xdr:col>15</xdr:col>
      <xdr:colOff>23812</xdr:colOff>
      <xdr:row>176</xdr:row>
      <xdr:rowOff>163587</xdr:rowOff>
    </xdr:to>
    <xdr:sp macro="" textlink="">
      <xdr:nvSpPr>
        <xdr:cNvPr id="68" name="Abrir llave 67">
          <a:extLst>
            <a:ext uri="{FF2B5EF4-FFF2-40B4-BE49-F238E27FC236}">
              <a16:creationId xmlns:a16="http://schemas.microsoft.com/office/drawing/2014/main" id="{56AC41BB-DA2C-4219-B7AF-4CD3B7E395CB}"/>
            </a:ext>
          </a:extLst>
        </xdr:cNvPr>
        <xdr:cNvSpPr/>
      </xdr:nvSpPr>
      <xdr:spPr>
        <a:xfrm rot="5400000" flipH="1">
          <a:off x="10877909" y="33115685"/>
          <a:ext cx="401713" cy="75009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259557</xdr:colOff>
      <xdr:row>176</xdr:row>
      <xdr:rowOff>178593</xdr:rowOff>
    </xdr:from>
    <xdr:to>
      <xdr:col>14</xdr:col>
      <xdr:colOff>714374</xdr:colOff>
      <xdr:row>178</xdr:row>
      <xdr:rowOff>154781</xdr:rowOff>
    </xdr:to>
    <xdr:sp macro="" textlink="">
      <xdr:nvSpPr>
        <xdr:cNvPr id="69" name="CuadroTexto 68">
          <a:extLst>
            <a:ext uri="{FF2B5EF4-FFF2-40B4-BE49-F238E27FC236}">
              <a16:creationId xmlns:a16="http://schemas.microsoft.com/office/drawing/2014/main" id="{3A70CDB5-9D8B-48E5-A2EF-C71AC7F3473A}"/>
            </a:ext>
          </a:extLst>
        </xdr:cNvPr>
        <xdr:cNvSpPr txBox="1"/>
      </xdr:nvSpPr>
      <xdr:spPr>
        <a:xfrm>
          <a:off x="10927557" y="33706593"/>
          <a:ext cx="454817" cy="357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16</xdr:col>
      <xdr:colOff>107156</xdr:colOff>
      <xdr:row>174</xdr:row>
      <xdr:rowOff>61914</xdr:rowOff>
    </xdr:from>
    <xdr:to>
      <xdr:col>16</xdr:col>
      <xdr:colOff>759618</xdr:colOff>
      <xdr:row>176</xdr:row>
      <xdr:rowOff>82627</xdr:rowOff>
    </xdr:to>
    <xdr:sp macro="" textlink="">
      <xdr:nvSpPr>
        <xdr:cNvPr id="70" name="Abrir llave 69">
          <a:extLst>
            <a:ext uri="{FF2B5EF4-FFF2-40B4-BE49-F238E27FC236}">
              <a16:creationId xmlns:a16="http://schemas.microsoft.com/office/drawing/2014/main" id="{D33DCA94-5B9F-4C81-81FB-535C1FFA8383}"/>
            </a:ext>
          </a:extLst>
        </xdr:cNvPr>
        <xdr:cNvSpPr/>
      </xdr:nvSpPr>
      <xdr:spPr>
        <a:xfrm rot="5400000" flipH="1">
          <a:off x="12424530" y="33083540"/>
          <a:ext cx="401713" cy="65246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16</xdr:col>
      <xdr:colOff>247650</xdr:colOff>
      <xdr:row>176</xdr:row>
      <xdr:rowOff>109542</xdr:rowOff>
    </xdr:from>
    <xdr:to>
      <xdr:col>16</xdr:col>
      <xdr:colOff>735805</xdr:colOff>
      <xdr:row>178</xdr:row>
      <xdr:rowOff>38105</xdr:rowOff>
    </xdr:to>
    <xdr:sp macro="" textlink="">
      <xdr:nvSpPr>
        <xdr:cNvPr id="71" name="CuadroTexto 70">
          <a:extLst>
            <a:ext uri="{FF2B5EF4-FFF2-40B4-BE49-F238E27FC236}">
              <a16:creationId xmlns:a16="http://schemas.microsoft.com/office/drawing/2014/main" id="{A2C6C09E-823A-4E44-B3A1-25DA377E24F6}"/>
            </a:ext>
          </a:extLst>
        </xdr:cNvPr>
        <xdr:cNvSpPr txBox="1"/>
      </xdr:nvSpPr>
      <xdr:spPr>
        <a:xfrm>
          <a:off x="12439650" y="33637542"/>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17</xdr:col>
      <xdr:colOff>92868</xdr:colOff>
      <xdr:row>174</xdr:row>
      <xdr:rowOff>23812</xdr:rowOff>
    </xdr:from>
    <xdr:to>
      <xdr:col>18</xdr:col>
      <xdr:colOff>0</xdr:colOff>
      <xdr:row>176</xdr:row>
      <xdr:rowOff>44525</xdr:rowOff>
    </xdr:to>
    <xdr:sp macro="" textlink="">
      <xdr:nvSpPr>
        <xdr:cNvPr id="72" name="Abrir llave 71">
          <a:extLst>
            <a:ext uri="{FF2B5EF4-FFF2-40B4-BE49-F238E27FC236}">
              <a16:creationId xmlns:a16="http://schemas.microsoft.com/office/drawing/2014/main" id="{F0EE0B3A-0208-4215-A202-8E58C0B05380}"/>
            </a:ext>
          </a:extLst>
        </xdr:cNvPr>
        <xdr:cNvSpPr/>
      </xdr:nvSpPr>
      <xdr:spPr>
        <a:xfrm rot="5400000" flipH="1">
          <a:off x="13180577" y="33037103"/>
          <a:ext cx="401713" cy="669132"/>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17</xdr:col>
      <xdr:colOff>233361</xdr:colOff>
      <xdr:row>176</xdr:row>
      <xdr:rowOff>95255</xdr:rowOff>
    </xdr:from>
    <xdr:to>
      <xdr:col>17</xdr:col>
      <xdr:colOff>721516</xdr:colOff>
      <xdr:row>178</xdr:row>
      <xdr:rowOff>23818</xdr:rowOff>
    </xdr:to>
    <xdr:sp macro="" textlink="">
      <xdr:nvSpPr>
        <xdr:cNvPr id="73" name="CuadroTexto 72">
          <a:extLst>
            <a:ext uri="{FF2B5EF4-FFF2-40B4-BE49-F238E27FC236}">
              <a16:creationId xmlns:a16="http://schemas.microsoft.com/office/drawing/2014/main" id="{87DE6C7E-200D-4221-AD27-B0285E88FBBA}"/>
            </a:ext>
          </a:extLst>
        </xdr:cNvPr>
        <xdr:cNvSpPr txBox="1"/>
      </xdr:nvSpPr>
      <xdr:spPr>
        <a:xfrm>
          <a:off x="13187361" y="33623255"/>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2</xdr:col>
      <xdr:colOff>392907</xdr:colOff>
      <xdr:row>181</xdr:row>
      <xdr:rowOff>119063</xdr:rowOff>
    </xdr:from>
    <xdr:to>
      <xdr:col>3</xdr:col>
      <xdr:colOff>228601</xdr:colOff>
      <xdr:row>183</xdr:row>
      <xdr:rowOff>171451</xdr:rowOff>
    </xdr:to>
    <xdr:sp macro="" textlink="">
      <xdr:nvSpPr>
        <xdr:cNvPr id="74" name="Flecha: a la derecha 73">
          <a:extLst>
            <a:ext uri="{FF2B5EF4-FFF2-40B4-BE49-F238E27FC236}">
              <a16:creationId xmlns:a16="http://schemas.microsoft.com/office/drawing/2014/main" id="{0AABFD5B-5420-440A-A230-411595162996}"/>
            </a:ext>
          </a:extLst>
        </xdr:cNvPr>
        <xdr:cNvSpPr/>
      </xdr:nvSpPr>
      <xdr:spPr>
        <a:xfrm flipV="1">
          <a:off x="1916907" y="34599563"/>
          <a:ext cx="597694" cy="43338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154780</xdr:colOff>
      <xdr:row>182</xdr:row>
      <xdr:rowOff>164306</xdr:rowOff>
    </xdr:from>
    <xdr:to>
      <xdr:col>9</xdr:col>
      <xdr:colOff>714375</xdr:colOff>
      <xdr:row>184</xdr:row>
      <xdr:rowOff>95249</xdr:rowOff>
    </xdr:to>
    <xdr:sp macro="" textlink="">
      <xdr:nvSpPr>
        <xdr:cNvPr id="75" name="Es igual a 74">
          <a:extLst>
            <a:ext uri="{FF2B5EF4-FFF2-40B4-BE49-F238E27FC236}">
              <a16:creationId xmlns:a16="http://schemas.microsoft.com/office/drawing/2014/main" id="{FE7FA940-444F-4198-B5EF-60584D7C4C85}"/>
            </a:ext>
          </a:extLst>
        </xdr:cNvPr>
        <xdr:cNvSpPr/>
      </xdr:nvSpPr>
      <xdr:spPr>
        <a:xfrm>
          <a:off x="7012780" y="34835306"/>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164305</xdr:colOff>
      <xdr:row>180</xdr:row>
      <xdr:rowOff>102393</xdr:rowOff>
    </xdr:from>
    <xdr:to>
      <xdr:col>9</xdr:col>
      <xdr:colOff>723900</xdr:colOff>
      <xdr:row>182</xdr:row>
      <xdr:rowOff>33336</xdr:rowOff>
    </xdr:to>
    <xdr:sp macro="" textlink="">
      <xdr:nvSpPr>
        <xdr:cNvPr id="76" name="Es igual a 75">
          <a:extLst>
            <a:ext uri="{FF2B5EF4-FFF2-40B4-BE49-F238E27FC236}">
              <a16:creationId xmlns:a16="http://schemas.microsoft.com/office/drawing/2014/main" id="{A9B94255-7E70-4A3C-94D3-6D57B875DEE8}"/>
            </a:ext>
          </a:extLst>
        </xdr:cNvPr>
        <xdr:cNvSpPr/>
      </xdr:nvSpPr>
      <xdr:spPr>
        <a:xfrm>
          <a:off x="7022305" y="34392393"/>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150017</xdr:colOff>
      <xdr:row>184</xdr:row>
      <xdr:rowOff>147637</xdr:rowOff>
    </xdr:from>
    <xdr:to>
      <xdr:col>9</xdr:col>
      <xdr:colOff>709612</xdr:colOff>
      <xdr:row>186</xdr:row>
      <xdr:rowOff>66674</xdr:rowOff>
    </xdr:to>
    <xdr:sp macro="" textlink="">
      <xdr:nvSpPr>
        <xdr:cNvPr id="77" name="Es igual a 76">
          <a:extLst>
            <a:ext uri="{FF2B5EF4-FFF2-40B4-BE49-F238E27FC236}">
              <a16:creationId xmlns:a16="http://schemas.microsoft.com/office/drawing/2014/main" id="{CF34E647-B0C6-431E-B52A-19E92012B8BD}"/>
            </a:ext>
          </a:extLst>
        </xdr:cNvPr>
        <xdr:cNvSpPr/>
      </xdr:nvSpPr>
      <xdr:spPr>
        <a:xfrm>
          <a:off x="7008017" y="35199637"/>
          <a:ext cx="559595" cy="3000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11</xdr:col>
      <xdr:colOff>0</xdr:colOff>
      <xdr:row>179</xdr:row>
      <xdr:rowOff>130967</xdr:rowOff>
    </xdr:from>
    <xdr:to>
      <xdr:col>12</xdr:col>
      <xdr:colOff>338139</xdr:colOff>
      <xdr:row>183</xdr:row>
      <xdr:rowOff>178592</xdr:rowOff>
    </xdr:to>
    <xdr:sp macro="" textlink="">
      <xdr:nvSpPr>
        <xdr:cNvPr id="78" name="CuadroTexto 77">
          <a:extLst>
            <a:ext uri="{FF2B5EF4-FFF2-40B4-BE49-F238E27FC236}">
              <a16:creationId xmlns:a16="http://schemas.microsoft.com/office/drawing/2014/main" id="{B44CBD1E-DE56-4736-82F5-14995EF2616E}"/>
            </a:ext>
          </a:extLst>
        </xdr:cNvPr>
        <xdr:cNvSpPr txBox="1"/>
      </xdr:nvSpPr>
      <xdr:spPr>
        <a:xfrm>
          <a:off x="8382000" y="34230467"/>
          <a:ext cx="110013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eficiencia y efectividad </a:t>
          </a:r>
        </a:p>
        <a:p>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11</xdr:col>
      <xdr:colOff>256981</xdr:colOff>
      <xdr:row>183</xdr:row>
      <xdr:rowOff>128729</xdr:rowOff>
    </xdr:from>
    <xdr:to>
      <xdr:col>11</xdr:col>
      <xdr:colOff>517865</xdr:colOff>
      <xdr:row>185</xdr:row>
      <xdr:rowOff>17979</xdr:rowOff>
    </xdr:to>
    <xdr:sp macro="" textlink="">
      <xdr:nvSpPr>
        <xdr:cNvPr id="79" name="Flecha: a la derecha 78">
          <a:extLst>
            <a:ext uri="{FF2B5EF4-FFF2-40B4-BE49-F238E27FC236}">
              <a16:creationId xmlns:a16="http://schemas.microsoft.com/office/drawing/2014/main" id="{FE4F2117-4F8B-4010-871D-8B345D29B358}"/>
            </a:ext>
          </a:extLst>
        </xdr:cNvPr>
        <xdr:cNvSpPr/>
      </xdr:nvSpPr>
      <xdr:spPr>
        <a:xfrm rot="5400000">
          <a:off x="8634298" y="3499491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809626</xdr:colOff>
      <xdr:row>196</xdr:row>
      <xdr:rowOff>23814</xdr:rowOff>
    </xdr:from>
    <xdr:to>
      <xdr:col>4</xdr:col>
      <xdr:colOff>595312</xdr:colOff>
      <xdr:row>197</xdr:row>
      <xdr:rowOff>142877</xdr:rowOff>
    </xdr:to>
    <xdr:sp macro="" textlink="">
      <xdr:nvSpPr>
        <xdr:cNvPr id="80" name="CuadroTexto 79">
          <a:extLst>
            <a:ext uri="{FF2B5EF4-FFF2-40B4-BE49-F238E27FC236}">
              <a16:creationId xmlns:a16="http://schemas.microsoft.com/office/drawing/2014/main" id="{A99E9728-25F2-467A-84EF-B73308D8F45D}"/>
            </a:ext>
          </a:extLst>
        </xdr:cNvPr>
        <xdr:cNvSpPr txBox="1"/>
      </xdr:nvSpPr>
      <xdr:spPr>
        <a:xfrm>
          <a:off x="3048001" y="37361814"/>
          <a:ext cx="595311"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952500</xdr:colOff>
      <xdr:row>194</xdr:row>
      <xdr:rowOff>23814</xdr:rowOff>
    </xdr:from>
    <xdr:to>
      <xdr:col>6</xdr:col>
      <xdr:colOff>11907</xdr:colOff>
      <xdr:row>196</xdr:row>
      <xdr:rowOff>44527</xdr:rowOff>
    </xdr:to>
    <xdr:sp macro="" textlink="">
      <xdr:nvSpPr>
        <xdr:cNvPr id="81" name="Abrir llave 80">
          <a:extLst>
            <a:ext uri="{FF2B5EF4-FFF2-40B4-BE49-F238E27FC236}">
              <a16:creationId xmlns:a16="http://schemas.microsoft.com/office/drawing/2014/main" id="{78BC3CCF-478A-4D5F-A48F-EEAF09F80E5F}"/>
            </a:ext>
          </a:extLst>
        </xdr:cNvPr>
        <xdr:cNvSpPr/>
      </xdr:nvSpPr>
      <xdr:spPr>
        <a:xfrm rot="5400000" flipH="1">
          <a:off x="2853097" y="35651717"/>
          <a:ext cx="401713" cy="3059907"/>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9</xdr:col>
      <xdr:colOff>11904</xdr:colOff>
      <xdr:row>193</xdr:row>
      <xdr:rowOff>92866</xdr:rowOff>
    </xdr:from>
    <xdr:to>
      <xdr:col>10</xdr:col>
      <xdr:colOff>35717</xdr:colOff>
      <xdr:row>195</xdr:row>
      <xdr:rowOff>113579</xdr:rowOff>
    </xdr:to>
    <xdr:sp macro="" textlink="">
      <xdr:nvSpPr>
        <xdr:cNvPr id="82" name="Abrir llave 81">
          <a:extLst>
            <a:ext uri="{FF2B5EF4-FFF2-40B4-BE49-F238E27FC236}">
              <a16:creationId xmlns:a16="http://schemas.microsoft.com/office/drawing/2014/main" id="{B0896F91-3033-4477-AF72-E4E1CBB0E494}"/>
            </a:ext>
          </a:extLst>
        </xdr:cNvPr>
        <xdr:cNvSpPr/>
      </xdr:nvSpPr>
      <xdr:spPr>
        <a:xfrm rot="5400000" flipH="1">
          <a:off x="7061954" y="36667316"/>
          <a:ext cx="401713" cy="785813"/>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9</xdr:col>
      <xdr:colOff>283369</xdr:colOff>
      <xdr:row>195</xdr:row>
      <xdr:rowOff>152403</xdr:rowOff>
    </xdr:from>
    <xdr:to>
      <xdr:col>9</xdr:col>
      <xdr:colOff>771524</xdr:colOff>
      <xdr:row>197</xdr:row>
      <xdr:rowOff>80966</xdr:rowOff>
    </xdr:to>
    <xdr:sp macro="" textlink="">
      <xdr:nvSpPr>
        <xdr:cNvPr id="83" name="CuadroTexto 82">
          <a:extLst>
            <a:ext uri="{FF2B5EF4-FFF2-40B4-BE49-F238E27FC236}">
              <a16:creationId xmlns:a16="http://schemas.microsoft.com/office/drawing/2014/main" id="{C17DDC0F-B100-486B-A634-7DCB1708EDEF}"/>
            </a:ext>
          </a:extLst>
        </xdr:cNvPr>
        <xdr:cNvSpPr txBox="1"/>
      </xdr:nvSpPr>
      <xdr:spPr>
        <a:xfrm>
          <a:off x="7141369" y="37299903"/>
          <a:ext cx="478630"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11</xdr:col>
      <xdr:colOff>795340</xdr:colOff>
      <xdr:row>193</xdr:row>
      <xdr:rowOff>90486</xdr:rowOff>
    </xdr:from>
    <xdr:to>
      <xdr:col>13</xdr:col>
      <xdr:colOff>107156</xdr:colOff>
      <xdr:row>195</xdr:row>
      <xdr:rowOff>111199</xdr:rowOff>
    </xdr:to>
    <xdr:sp macro="" textlink="">
      <xdr:nvSpPr>
        <xdr:cNvPr id="84" name="Abrir llave 83">
          <a:extLst>
            <a:ext uri="{FF2B5EF4-FFF2-40B4-BE49-F238E27FC236}">
              <a16:creationId xmlns:a16="http://schemas.microsoft.com/office/drawing/2014/main" id="{3EEBC820-421A-41D7-8ECF-5346A3FA9D98}"/>
            </a:ext>
          </a:extLst>
        </xdr:cNvPr>
        <xdr:cNvSpPr/>
      </xdr:nvSpPr>
      <xdr:spPr>
        <a:xfrm rot="5400000" flipH="1">
          <a:off x="9375341" y="36620885"/>
          <a:ext cx="401713" cy="873916"/>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233363</xdr:colOff>
      <xdr:row>195</xdr:row>
      <xdr:rowOff>114304</xdr:rowOff>
    </xdr:from>
    <xdr:to>
      <xdr:col>12</xdr:col>
      <xdr:colOff>721518</xdr:colOff>
      <xdr:row>197</xdr:row>
      <xdr:rowOff>42867</xdr:rowOff>
    </xdr:to>
    <xdr:sp macro="" textlink="">
      <xdr:nvSpPr>
        <xdr:cNvPr id="85" name="CuadroTexto 84">
          <a:extLst>
            <a:ext uri="{FF2B5EF4-FFF2-40B4-BE49-F238E27FC236}">
              <a16:creationId xmlns:a16="http://schemas.microsoft.com/office/drawing/2014/main" id="{355F7AC1-6F1C-4C6E-9E9F-481EAF9BF222}"/>
            </a:ext>
          </a:extLst>
        </xdr:cNvPr>
        <xdr:cNvSpPr txBox="1"/>
      </xdr:nvSpPr>
      <xdr:spPr>
        <a:xfrm>
          <a:off x="9377363" y="37261804"/>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13</xdr:col>
      <xdr:colOff>947737</xdr:colOff>
      <xdr:row>193</xdr:row>
      <xdr:rowOff>52386</xdr:rowOff>
    </xdr:from>
    <xdr:to>
      <xdr:col>15</xdr:col>
      <xdr:colOff>135732</xdr:colOff>
      <xdr:row>195</xdr:row>
      <xdr:rowOff>73099</xdr:rowOff>
    </xdr:to>
    <xdr:sp macro="" textlink="">
      <xdr:nvSpPr>
        <xdr:cNvPr id="86" name="Abrir llave 85">
          <a:extLst>
            <a:ext uri="{FF2B5EF4-FFF2-40B4-BE49-F238E27FC236}">
              <a16:creationId xmlns:a16="http://schemas.microsoft.com/office/drawing/2014/main" id="{9E020EC9-4022-43C6-8CCA-91F7776B4D96}"/>
            </a:ext>
          </a:extLst>
        </xdr:cNvPr>
        <xdr:cNvSpPr/>
      </xdr:nvSpPr>
      <xdr:spPr>
        <a:xfrm rot="5400000" flipH="1">
          <a:off x="10918390" y="36573258"/>
          <a:ext cx="401713" cy="892970"/>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266700</xdr:colOff>
      <xdr:row>195</xdr:row>
      <xdr:rowOff>76204</xdr:rowOff>
    </xdr:from>
    <xdr:to>
      <xdr:col>14</xdr:col>
      <xdr:colOff>754855</xdr:colOff>
      <xdr:row>197</xdr:row>
      <xdr:rowOff>4767</xdr:rowOff>
    </xdr:to>
    <xdr:sp macro="" textlink="">
      <xdr:nvSpPr>
        <xdr:cNvPr id="87" name="CuadroTexto 86">
          <a:extLst>
            <a:ext uri="{FF2B5EF4-FFF2-40B4-BE49-F238E27FC236}">
              <a16:creationId xmlns:a16="http://schemas.microsoft.com/office/drawing/2014/main" id="{E74BEF9C-48F6-483E-93CA-D3B8A7C03B2A}"/>
            </a:ext>
          </a:extLst>
        </xdr:cNvPr>
        <xdr:cNvSpPr txBox="1"/>
      </xdr:nvSpPr>
      <xdr:spPr>
        <a:xfrm>
          <a:off x="10934700" y="37223704"/>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15</xdr:col>
      <xdr:colOff>190500</xdr:colOff>
      <xdr:row>192</xdr:row>
      <xdr:rowOff>214313</xdr:rowOff>
    </xdr:from>
    <xdr:to>
      <xdr:col>16</xdr:col>
      <xdr:colOff>26194</xdr:colOff>
      <xdr:row>193</xdr:row>
      <xdr:rowOff>52387</xdr:rowOff>
    </xdr:to>
    <xdr:sp macro="" textlink="">
      <xdr:nvSpPr>
        <xdr:cNvPr id="88" name="Flecha: a la derecha 87">
          <a:extLst>
            <a:ext uri="{FF2B5EF4-FFF2-40B4-BE49-F238E27FC236}">
              <a16:creationId xmlns:a16="http://schemas.microsoft.com/office/drawing/2014/main" id="{DB3FFC03-DB75-44A7-97DB-956D2D222BE6}"/>
            </a:ext>
          </a:extLst>
        </xdr:cNvPr>
        <xdr:cNvSpPr/>
      </xdr:nvSpPr>
      <xdr:spPr>
        <a:xfrm>
          <a:off x="11620500" y="36761738"/>
          <a:ext cx="597694" cy="57149"/>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154780</xdr:colOff>
      <xdr:row>201</xdr:row>
      <xdr:rowOff>164306</xdr:rowOff>
    </xdr:from>
    <xdr:to>
      <xdr:col>6</xdr:col>
      <xdr:colOff>714375</xdr:colOff>
      <xdr:row>203</xdr:row>
      <xdr:rowOff>95249</xdr:rowOff>
    </xdr:to>
    <xdr:sp macro="" textlink="">
      <xdr:nvSpPr>
        <xdr:cNvPr id="89" name="Es igual a 88">
          <a:extLst>
            <a:ext uri="{FF2B5EF4-FFF2-40B4-BE49-F238E27FC236}">
              <a16:creationId xmlns:a16="http://schemas.microsoft.com/office/drawing/2014/main" id="{3559208D-7E57-4528-A76D-0A3DC3F2F0B2}"/>
            </a:ext>
          </a:extLst>
        </xdr:cNvPr>
        <xdr:cNvSpPr/>
      </xdr:nvSpPr>
      <xdr:spPr>
        <a:xfrm>
          <a:off x="4726780" y="38454806"/>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164305</xdr:colOff>
      <xdr:row>199</xdr:row>
      <xdr:rowOff>102393</xdr:rowOff>
    </xdr:from>
    <xdr:to>
      <xdr:col>6</xdr:col>
      <xdr:colOff>723900</xdr:colOff>
      <xdr:row>201</xdr:row>
      <xdr:rowOff>33336</xdr:rowOff>
    </xdr:to>
    <xdr:sp macro="" textlink="">
      <xdr:nvSpPr>
        <xdr:cNvPr id="90" name="Es igual a 89">
          <a:extLst>
            <a:ext uri="{FF2B5EF4-FFF2-40B4-BE49-F238E27FC236}">
              <a16:creationId xmlns:a16="http://schemas.microsoft.com/office/drawing/2014/main" id="{889DCF5C-4555-40FC-9639-23EA8BE0C80E}"/>
            </a:ext>
          </a:extLst>
        </xdr:cNvPr>
        <xdr:cNvSpPr/>
      </xdr:nvSpPr>
      <xdr:spPr>
        <a:xfrm>
          <a:off x="4736305" y="38011893"/>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6</xdr:col>
      <xdr:colOff>150017</xdr:colOff>
      <xdr:row>203</xdr:row>
      <xdr:rowOff>147637</xdr:rowOff>
    </xdr:from>
    <xdr:to>
      <xdr:col>6</xdr:col>
      <xdr:colOff>709612</xdr:colOff>
      <xdr:row>206</xdr:row>
      <xdr:rowOff>66674</xdr:rowOff>
    </xdr:to>
    <xdr:sp macro="" textlink="">
      <xdr:nvSpPr>
        <xdr:cNvPr id="91" name="Es igual a 90">
          <a:extLst>
            <a:ext uri="{FF2B5EF4-FFF2-40B4-BE49-F238E27FC236}">
              <a16:creationId xmlns:a16="http://schemas.microsoft.com/office/drawing/2014/main" id="{2C828D38-BE0F-46C4-B2F4-78DD7B65DBEC}"/>
            </a:ext>
          </a:extLst>
        </xdr:cNvPr>
        <xdr:cNvSpPr/>
      </xdr:nvSpPr>
      <xdr:spPr>
        <a:xfrm>
          <a:off x="4722017" y="38819137"/>
          <a:ext cx="559595" cy="4905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0</xdr:colOff>
      <xdr:row>198</xdr:row>
      <xdr:rowOff>130967</xdr:rowOff>
    </xdr:from>
    <xdr:to>
      <xdr:col>9</xdr:col>
      <xdr:colOff>338139</xdr:colOff>
      <xdr:row>202</xdr:row>
      <xdr:rowOff>178592</xdr:rowOff>
    </xdr:to>
    <xdr:sp macro="" textlink="">
      <xdr:nvSpPr>
        <xdr:cNvPr id="92" name="CuadroTexto 91">
          <a:extLst>
            <a:ext uri="{FF2B5EF4-FFF2-40B4-BE49-F238E27FC236}">
              <a16:creationId xmlns:a16="http://schemas.microsoft.com/office/drawing/2014/main" id="{60F5A630-2D9E-414A-A3E5-6776664DF98E}"/>
            </a:ext>
          </a:extLst>
        </xdr:cNvPr>
        <xdr:cNvSpPr txBox="1"/>
      </xdr:nvSpPr>
      <xdr:spPr>
        <a:xfrm>
          <a:off x="6096000" y="37849967"/>
          <a:ext cx="1100139"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Normatividad y compativilidad </a:t>
          </a:r>
        </a:p>
        <a:p>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8</xdr:col>
      <xdr:colOff>256981</xdr:colOff>
      <xdr:row>202</xdr:row>
      <xdr:rowOff>128729</xdr:rowOff>
    </xdr:from>
    <xdr:to>
      <xdr:col>8</xdr:col>
      <xdr:colOff>517865</xdr:colOff>
      <xdr:row>204</xdr:row>
      <xdr:rowOff>17979</xdr:rowOff>
    </xdr:to>
    <xdr:sp macro="" textlink="">
      <xdr:nvSpPr>
        <xdr:cNvPr id="93" name="Flecha: a la derecha 92">
          <a:extLst>
            <a:ext uri="{FF2B5EF4-FFF2-40B4-BE49-F238E27FC236}">
              <a16:creationId xmlns:a16="http://schemas.microsoft.com/office/drawing/2014/main" id="{7724BC7F-EDF5-4AC1-9380-C7A8DFCDC2A9}"/>
            </a:ext>
          </a:extLst>
        </xdr:cNvPr>
        <xdr:cNvSpPr/>
      </xdr:nvSpPr>
      <xdr:spPr>
        <a:xfrm rot="5400000">
          <a:off x="6348298" y="38614412"/>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119062</xdr:colOff>
      <xdr:row>0</xdr:row>
      <xdr:rowOff>59531</xdr:rowOff>
    </xdr:from>
    <xdr:to>
      <xdr:col>18</xdr:col>
      <xdr:colOff>80961</xdr:colOff>
      <xdr:row>2</xdr:row>
      <xdr:rowOff>200025</xdr:rowOff>
    </xdr:to>
    <xdr:sp macro="" textlink="">
      <xdr:nvSpPr>
        <xdr:cNvPr id="94" name="Rectángulo 93">
          <a:hlinkClick xmlns:r="http://schemas.openxmlformats.org/officeDocument/2006/relationships" r:id="rId5"/>
          <a:extLst>
            <a:ext uri="{FF2B5EF4-FFF2-40B4-BE49-F238E27FC236}">
              <a16:creationId xmlns:a16="http://schemas.microsoft.com/office/drawing/2014/main" id="{A71F2898-B2D0-4E57-A577-7C0BA13CFEFF}"/>
            </a:ext>
          </a:extLst>
        </xdr:cNvPr>
        <xdr:cNvSpPr/>
      </xdr:nvSpPr>
      <xdr:spPr>
        <a:xfrm>
          <a:off x="12311062" y="59531"/>
          <a:ext cx="1485899" cy="51196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twoCellAnchor>
    <xdr:from>
      <xdr:col>5</xdr:col>
      <xdr:colOff>442231</xdr:colOff>
      <xdr:row>214</xdr:row>
      <xdr:rowOff>97972</xdr:rowOff>
    </xdr:from>
    <xdr:to>
      <xdr:col>18</xdr:col>
      <xdr:colOff>802822</xdr:colOff>
      <xdr:row>225</xdr:row>
      <xdr:rowOff>81643</xdr:rowOff>
    </xdr:to>
    <mc:AlternateContent xmlns:mc="http://schemas.openxmlformats.org/markup-compatibility/2006">
      <mc:Choice xmlns:cx1="http://schemas.microsoft.com/office/drawing/2015/9/8/chartex" Requires="cx1">
        <xdr:graphicFrame macro="">
          <xdr:nvGraphicFramePr>
            <xdr:cNvPr id="95" name="Gráfico 94">
              <a:extLst>
                <a:ext uri="{FF2B5EF4-FFF2-40B4-BE49-F238E27FC236}">
                  <a16:creationId xmlns:a16="http://schemas.microsoft.com/office/drawing/2014/main" id="{4950B08A-4DCF-4DE5-A1EC-B75AB3B4494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366656" y="55190572"/>
              <a:ext cx="11638191" cy="532719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192527</xdr:colOff>
      <xdr:row>4</xdr:row>
      <xdr:rowOff>151657</xdr:rowOff>
    </xdr:from>
    <xdr:to>
      <xdr:col>9</xdr:col>
      <xdr:colOff>116782</xdr:colOff>
      <xdr:row>37</xdr:row>
      <xdr:rowOff>30399</xdr:rowOff>
    </xdr:to>
    <xdr:pic>
      <xdr:nvPicPr>
        <xdr:cNvPr id="2" name="Imagen 1">
          <a:extLst>
            <a:ext uri="{FF2B5EF4-FFF2-40B4-BE49-F238E27FC236}">
              <a16:creationId xmlns:a16="http://schemas.microsoft.com/office/drawing/2014/main" id="{8F9CF34F-2B09-4469-B91B-70BAFDDF3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4527" y="913657"/>
          <a:ext cx="6020255" cy="616524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654843</xdr:colOff>
      <xdr:row>25</xdr:row>
      <xdr:rowOff>11907</xdr:rowOff>
    </xdr:from>
    <xdr:to>
      <xdr:col>10</xdr:col>
      <xdr:colOff>54557</xdr:colOff>
      <xdr:row>29</xdr:row>
      <xdr:rowOff>40383</xdr:rowOff>
    </xdr:to>
    <xdr:pic>
      <xdr:nvPicPr>
        <xdr:cNvPr id="2" name="Imagen 1">
          <a:extLst>
            <a:ext uri="{FF2B5EF4-FFF2-40B4-BE49-F238E27FC236}">
              <a16:creationId xmlns:a16="http://schemas.microsoft.com/office/drawing/2014/main" id="{0E5B7C30-1CED-877B-955C-07D05DDD5065}"/>
            </a:ext>
          </a:extLst>
        </xdr:cNvPr>
        <xdr:cNvPicPr>
          <a:picLocks noChangeAspect="1"/>
        </xdr:cNvPicPr>
      </xdr:nvPicPr>
      <xdr:blipFill>
        <a:blip xmlns:r="http://schemas.openxmlformats.org/officeDocument/2006/relationships" r:embed="rId1"/>
        <a:stretch>
          <a:fillRect/>
        </a:stretch>
      </xdr:blipFill>
      <xdr:spPr>
        <a:xfrm>
          <a:off x="6867260" y="7981157"/>
          <a:ext cx="1685714" cy="790476"/>
        </a:xfrm>
        <a:prstGeom prst="rect">
          <a:avLst/>
        </a:prstGeom>
      </xdr:spPr>
    </xdr:pic>
    <xdr:clientData/>
  </xdr:twoCellAnchor>
  <xdr:twoCellAnchor>
    <xdr:from>
      <xdr:col>6</xdr:col>
      <xdr:colOff>297656</xdr:colOff>
      <xdr:row>27</xdr:row>
      <xdr:rowOff>26145</xdr:rowOff>
    </xdr:from>
    <xdr:to>
      <xdr:col>7</xdr:col>
      <xdr:colOff>654843</xdr:colOff>
      <xdr:row>28</xdr:row>
      <xdr:rowOff>107156</xdr:rowOff>
    </xdr:to>
    <xdr:cxnSp macro="">
      <xdr:nvCxnSpPr>
        <xdr:cNvPr id="4" name="Conector: angular 3">
          <a:extLst>
            <a:ext uri="{FF2B5EF4-FFF2-40B4-BE49-F238E27FC236}">
              <a16:creationId xmlns:a16="http://schemas.microsoft.com/office/drawing/2014/main" id="{347B029C-80AC-8422-66A9-8CD703DC26B2}"/>
            </a:ext>
          </a:extLst>
        </xdr:cNvPr>
        <xdr:cNvCxnSpPr>
          <a:cxnSpLocks/>
          <a:endCxn id="2" idx="1"/>
        </xdr:cNvCxnSpPr>
      </xdr:nvCxnSpPr>
      <xdr:spPr>
        <a:xfrm flipV="1">
          <a:off x="5748073" y="8376395"/>
          <a:ext cx="1119187" cy="271511"/>
        </a:xfrm>
        <a:prstGeom prst="bentConnector3">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1038738</xdr:colOff>
      <xdr:row>20</xdr:row>
      <xdr:rowOff>83341</xdr:rowOff>
    </xdr:from>
    <xdr:to>
      <xdr:col>30</xdr:col>
      <xdr:colOff>121957</xdr:colOff>
      <xdr:row>22</xdr:row>
      <xdr:rowOff>104054</xdr:rowOff>
    </xdr:to>
    <xdr:sp macro="" textlink="">
      <xdr:nvSpPr>
        <xdr:cNvPr id="5" name="Abrir llave 4">
          <a:extLst>
            <a:ext uri="{FF2B5EF4-FFF2-40B4-BE49-F238E27FC236}">
              <a16:creationId xmlns:a16="http://schemas.microsoft.com/office/drawing/2014/main" id="{412957EF-7EED-4995-8E56-CED5E96AC92D}"/>
            </a:ext>
          </a:extLst>
        </xdr:cNvPr>
        <xdr:cNvSpPr/>
      </xdr:nvSpPr>
      <xdr:spPr>
        <a:xfrm rot="5400000" flipH="1">
          <a:off x="12894569" y="-3637625"/>
          <a:ext cx="406862" cy="21930347"/>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15</xdr:col>
      <xdr:colOff>631031</xdr:colOff>
      <xdr:row>22</xdr:row>
      <xdr:rowOff>23816</xdr:rowOff>
    </xdr:from>
    <xdr:to>
      <xdr:col>16</xdr:col>
      <xdr:colOff>392907</xdr:colOff>
      <xdr:row>24</xdr:row>
      <xdr:rowOff>35722</xdr:rowOff>
    </xdr:to>
    <xdr:sp macro="" textlink="">
      <xdr:nvSpPr>
        <xdr:cNvPr id="6" name="CuadroTexto 5">
          <a:extLst>
            <a:ext uri="{FF2B5EF4-FFF2-40B4-BE49-F238E27FC236}">
              <a16:creationId xmlns:a16="http://schemas.microsoft.com/office/drawing/2014/main" id="{BBD7CAB4-AC87-0AF5-31D9-5EA67876CB54}"/>
            </a:ext>
          </a:extLst>
        </xdr:cNvPr>
        <xdr:cNvSpPr txBox="1"/>
      </xdr:nvSpPr>
      <xdr:spPr>
        <a:xfrm>
          <a:off x="12918281" y="7429504"/>
          <a:ext cx="523876" cy="392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b="1">
              <a:latin typeface="Calibri" panose="020F0502020204030204" pitchFamily="34" charset="0"/>
              <a:cs typeface="Calibri" panose="020F0502020204030204" pitchFamily="34" charset="0"/>
            </a:rPr>
            <a:t>[Z]</a:t>
          </a:r>
        </a:p>
      </xdr:txBody>
    </xdr:sp>
    <xdr:clientData/>
  </xdr:twoCellAnchor>
  <xdr:twoCellAnchor>
    <xdr:from>
      <xdr:col>0</xdr:col>
      <xdr:colOff>980282</xdr:colOff>
      <xdr:row>70</xdr:row>
      <xdr:rowOff>168273</xdr:rowOff>
    </xdr:from>
    <xdr:to>
      <xdr:col>18</xdr:col>
      <xdr:colOff>583407</xdr:colOff>
      <xdr:row>94</xdr:row>
      <xdr:rowOff>119061</xdr:rowOff>
    </xdr:to>
    <xdr:graphicFrame macro="">
      <xdr:nvGraphicFramePr>
        <xdr:cNvPr id="9" name="Gráfico 8">
          <a:extLst>
            <a:ext uri="{FF2B5EF4-FFF2-40B4-BE49-F238E27FC236}">
              <a16:creationId xmlns:a16="http://schemas.microsoft.com/office/drawing/2014/main" id="{ADFDC347-B3BA-CB31-2FF2-2CFBD89BEA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1095374</xdr:colOff>
      <xdr:row>61</xdr:row>
      <xdr:rowOff>35721</xdr:rowOff>
    </xdr:from>
    <xdr:to>
      <xdr:col>30</xdr:col>
      <xdr:colOff>35717</xdr:colOff>
      <xdr:row>63</xdr:row>
      <xdr:rowOff>56434</xdr:rowOff>
    </xdr:to>
    <xdr:sp macro="" textlink="">
      <xdr:nvSpPr>
        <xdr:cNvPr id="10" name="Abrir llave 9">
          <a:extLst>
            <a:ext uri="{FF2B5EF4-FFF2-40B4-BE49-F238E27FC236}">
              <a16:creationId xmlns:a16="http://schemas.microsoft.com/office/drawing/2014/main" id="{C89491B4-A245-4AEE-A8BF-E02280F6B1EC}"/>
            </a:ext>
          </a:extLst>
        </xdr:cNvPr>
        <xdr:cNvSpPr/>
      </xdr:nvSpPr>
      <xdr:spPr>
        <a:xfrm rot="5400000" flipH="1">
          <a:off x="12407861" y="9463922"/>
          <a:ext cx="401713" cy="23026687"/>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15</xdr:col>
      <xdr:colOff>20917</xdr:colOff>
      <xdr:row>62</xdr:row>
      <xdr:rowOff>154788</xdr:rowOff>
    </xdr:from>
    <xdr:to>
      <xdr:col>17</xdr:col>
      <xdr:colOff>273844</xdr:colOff>
      <xdr:row>64</xdr:row>
      <xdr:rowOff>166694</xdr:rowOff>
    </xdr:to>
    <xdr:sp macro="" textlink="">
      <xdr:nvSpPr>
        <xdr:cNvPr id="11" name="CuadroTexto 10">
          <a:extLst>
            <a:ext uri="{FF2B5EF4-FFF2-40B4-BE49-F238E27FC236}">
              <a16:creationId xmlns:a16="http://schemas.microsoft.com/office/drawing/2014/main" id="{8D302418-3263-420D-A08E-8BA3AC1E52E7}"/>
            </a:ext>
          </a:extLst>
        </xdr:cNvPr>
        <xdr:cNvSpPr txBox="1"/>
      </xdr:nvSpPr>
      <xdr:spPr>
        <a:xfrm>
          <a:off x="12403417" y="21085976"/>
          <a:ext cx="1776927" cy="392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b="1">
              <a:latin typeface="Calibri" panose="020F0502020204030204" pitchFamily="34" charset="0"/>
              <a:cs typeface="Calibri" panose="020F0502020204030204" pitchFamily="34" charset="0"/>
            </a:rPr>
            <a:t>[Z´] Normalizada</a:t>
          </a:r>
        </a:p>
      </xdr:txBody>
    </xdr:sp>
    <xdr:clientData/>
  </xdr:twoCellAnchor>
  <xdr:twoCellAnchor>
    <xdr:from>
      <xdr:col>17</xdr:col>
      <xdr:colOff>12871</xdr:colOff>
      <xdr:row>0</xdr:row>
      <xdr:rowOff>38615</xdr:rowOff>
    </xdr:from>
    <xdr:to>
      <xdr:col>18</xdr:col>
      <xdr:colOff>739345</xdr:colOff>
      <xdr:row>2</xdr:row>
      <xdr:rowOff>172995</xdr:rowOff>
    </xdr:to>
    <xdr:sp macro="" textlink="">
      <xdr:nvSpPr>
        <xdr:cNvPr id="3" name="Rectángulo 2">
          <a:hlinkClick xmlns:r="http://schemas.openxmlformats.org/officeDocument/2006/relationships" r:id="rId3"/>
          <a:extLst>
            <a:ext uri="{FF2B5EF4-FFF2-40B4-BE49-F238E27FC236}">
              <a16:creationId xmlns:a16="http://schemas.microsoft.com/office/drawing/2014/main" id="{018F8EE6-2790-4D9E-81A9-0D11AA560DD1}"/>
            </a:ext>
          </a:extLst>
        </xdr:cNvPr>
        <xdr:cNvSpPr/>
      </xdr:nvSpPr>
      <xdr:spPr>
        <a:xfrm>
          <a:off x="13901351" y="38615"/>
          <a:ext cx="1485899" cy="5334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57150</xdr:colOff>
      <xdr:row>12</xdr:row>
      <xdr:rowOff>9525</xdr:rowOff>
    </xdr:from>
    <xdr:to>
      <xdr:col>5</xdr:col>
      <xdr:colOff>171079</xdr:colOff>
      <xdr:row>18</xdr:row>
      <xdr:rowOff>5544</xdr:rowOff>
    </xdr:to>
    <xdr:pic>
      <xdr:nvPicPr>
        <xdr:cNvPr id="2" name="Imagen 1">
          <a:extLst>
            <a:ext uri="{FF2B5EF4-FFF2-40B4-BE49-F238E27FC236}">
              <a16:creationId xmlns:a16="http://schemas.microsoft.com/office/drawing/2014/main" id="{82A54DF3-2C23-951D-8E4A-C2FE195A75B7}"/>
            </a:ext>
          </a:extLst>
        </xdr:cNvPr>
        <xdr:cNvPicPr>
          <a:picLocks noChangeAspect="1"/>
        </xdr:cNvPicPr>
      </xdr:nvPicPr>
      <xdr:blipFill>
        <a:blip xmlns:r="http://schemas.openxmlformats.org/officeDocument/2006/relationships" r:embed="rId1"/>
        <a:stretch>
          <a:fillRect/>
        </a:stretch>
      </xdr:blipFill>
      <xdr:spPr>
        <a:xfrm>
          <a:off x="1095375" y="2362200"/>
          <a:ext cx="2971429" cy="1133333"/>
        </a:xfrm>
        <a:prstGeom prst="rect">
          <a:avLst/>
        </a:prstGeom>
      </xdr:spPr>
    </xdr:pic>
    <xdr:clientData/>
  </xdr:twoCellAnchor>
  <xdr:twoCellAnchor>
    <xdr:from>
      <xdr:col>30</xdr:col>
      <xdr:colOff>9525</xdr:colOff>
      <xdr:row>20</xdr:row>
      <xdr:rowOff>333375</xdr:rowOff>
    </xdr:from>
    <xdr:to>
      <xdr:col>33</xdr:col>
      <xdr:colOff>0</xdr:colOff>
      <xdr:row>21</xdr:row>
      <xdr:rowOff>580913</xdr:rowOff>
    </xdr:to>
    <xdr:sp macro="" textlink="">
      <xdr:nvSpPr>
        <xdr:cNvPr id="3" name="Signo de multiplicación 2">
          <a:extLst>
            <a:ext uri="{FF2B5EF4-FFF2-40B4-BE49-F238E27FC236}">
              <a16:creationId xmlns:a16="http://schemas.microsoft.com/office/drawing/2014/main" id="{0DEC4C4A-0A91-4775-AA25-F3AE53A22187}"/>
            </a:ext>
          </a:extLst>
        </xdr:cNvPr>
        <xdr:cNvSpPr/>
      </xdr:nvSpPr>
      <xdr:spPr>
        <a:xfrm>
          <a:off x="22888575" y="5372100"/>
          <a:ext cx="2346925" cy="1047638"/>
        </a:xfrm>
        <a:prstGeom prst="mathMultiply">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30</xdr:row>
      <xdr:rowOff>457200</xdr:rowOff>
    </xdr:from>
    <xdr:to>
      <xdr:col>6</xdr:col>
      <xdr:colOff>609600</xdr:colOff>
      <xdr:row>33</xdr:row>
      <xdr:rowOff>114300</xdr:rowOff>
    </xdr:to>
    <xdr:sp macro="" textlink="">
      <xdr:nvSpPr>
        <xdr:cNvPr id="4" name="Flecha: a la derecha 3">
          <a:extLst>
            <a:ext uri="{FF2B5EF4-FFF2-40B4-BE49-F238E27FC236}">
              <a16:creationId xmlns:a16="http://schemas.microsoft.com/office/drawing/2014/main" id="{42281763-FD76-FE2B-08E8-28C32E2CBADF}"/>
            </a:ext>
          </a:extLst>
        </xdr:cNvPr>
        <xdr:cNvSpPr/>
      </xdr:nvSpPr>
      <xdr:spPr>
        <a:xfrm>
          <a:off x="4057650" y="10201275"/>
          <a:ext cx="2000250" cy="13716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12</xdr:col>
      <xdr:colOff>228600</xdr:colOff>
      <xdr:row>29</xdr:row>
      <xdr:rowOff>400050</xdr:rowOff>
    </xdr:from>
    <xdr:to>
      <xdr:col>13</xdr:col>
      <xdr:colOff>409575</xdr:colOff>
      <xdr:row>31</xdr:row>
      <xdr:rowOff>28575</xdr:rowOff>
    </xdr:to>
    <xdr:sp macro="" textlink="">
      <xdr:nvSpPr>
        <xdr:cNvPr id="5" name="Flecha: a la derecha 4">
          <a:extLst>
            <a:ext uri="{FF2B5EF4-FFF2-40B4-BE49-F238E27FC236}">
              <a16:creationId xmlns:a16="http://schemas.microsoft.com/office/drawing/2014/main" id="{9F21199F-46FD-46EC-B1F3-E534C19A9385}"/>
            </a:ext>
          </a:extLst>
        </xdr:cNvPr>
        <xdr:cNvSpPr/>
      </xdr:nvSpPr>
      <xdr:spPr>
        <a:xfrm>
          <a:off x="10248900" y="9705975"/>
          <a:ext cx="942975" cy="63817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74083</xdr:colOff>
      <xdr:row>0</xdr:row>
      <xdr:rowOff>74082</xdr:rowOff>
    </xdr:from>
    <xdr:to>
      <xdr:col>17</xdr:col>
      <xdr:colOff>35982</xdr:colOff>
      <xdr:row>1</xdr:row>
      <xdr:rowOff>459315</xdr:rowOff>
    </xdr:to>
    <xdr:sp macro="" textlink="">
      <xdr:nvSpPr>
        <xdr:cNvPr id="6" name="Rectángulo 5">
          <a:hlinkClick xmlns:r="http://schemas.openxmlformats.org/officeDocument/2006/relationships" r:id="rId2"/>
          <a:extLst>
            <a:ext uri="{FF2B5EF4-FFF2-40B4-BE49-F238E27FC236}">
              <a16:creationId xmlns:a16="http://schemas.microsoft.com/office/drawing/2014/main" id="{B06A5E4A-EF8D-4FB1-A76B-4FFB412AA9B6}"/>
            </a:ext>
          </a:extLst>
        </xdr:cNvPr>
        <xdr:cNvSpPr/>
      </xdr:nvSpPr>
      <xdr:spPr>
        <a:xfrm>
          <a:off x="12382500" y="74082"/>
          <a:ext cx="1485899" cy="57573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181811</xdr:colOff>
      <xdr:row>24</xdr:row>
      <xdr:rowOff>23880</xdr:rowOff>
    </xdr:from>
    <xdr:to>
      <xdr:col>5</xdr:col>
      <xdr:colOff>19949</xdr:colOff>
      <xdr:row>25</xdr:row>
      <xdr:rowOff>140369</xdr:rowOff>
    </xdr:to>
    <xdr:sp macro="" textlink="">
      <xdr:nvSpPr>
        <xdr:cNvPr id="14" name="CuadroTexto 13">
          <a:extLst>
            <a:ext uri="{FF2B5EF4-FFF2-40B4-BE49-F238E27FC236}">
              <a16:creationId xmlns:a16="http://schemas.microsoft.com/office/drawing/2014/main" id="{3882F03A-47B1-4A16-80E5-7A62964324CA}"/>
            </a:ext>
          </a:extLst>
        </xdr:cNvPr>
        <xdr:cNvSpPr txBox="1"/>
      </xdr:nvSpPr>
      <xdr:spPr>
        <a:xfrm>
          <a:off x="4056169" y="6459691"/>
          <a:ext cx="726280"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1235675</xdr:colOff>
      <xdr:row>22</xdr:row>
      <xdr:rowOff>76651</xdr:rowOff>
    </xdr:from>
    <xdr:to>
      <xdr:col>7</xdr:col>
      <xdr:colOff>51164</xdr:colOff>
      <xdr:row>24</xdr:row>
      <xdr:rowOff>92215</xdr:rowOff>
    </xdr:to>
    <xdr:sp macro="" textlink="">
      <xdr:nvSpPr>
        <xdr:cNvPr id="15" name="Abrir llave 14">
          <a:extLst>
            <a:ext uri="{FF2B5EF4-FFF2-40B4-BE49-F238E27FC236}">
              <a16:creationId xmlns:a16="http://schemas.microsoft.com/office/drawing/2014/main" id="{FA29D8D9-9030-4F2D-A4C4-0F74B67035F6}"/>
            </a:ext>
          </a:extLst>
        </xdr:cNvPr>
        <xdr:cNvSpPr/>
      </xdr:nvSpPr>
      <xdr:spPr>
        <a:xfrm rot="5400000" flipH="1">
          <a:off x="4194641" y="4261435"/>
          <a:ext cx="401713" cy="4131469"/>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8045</xdr:colOff>
      <xdr:row>21</xdr:row>
      <xdr:rowOff>362271</xdr:rowOff>
    </xdr:from>
    <xdr:to>
      <xdr:col>13</xdr:col>
      <xdr:colOff>130519</xdr:colOff>
      <xdr:row>23</xdr:row>
      <xdr:rowOff>184762</xdr:rowOff>
    </xdr:to>
    <xdr:sp macro="" textlink="">
      <xdr:nvSpPr>
        <xdr:cNvPr id="16" name="Abrir llave 15">
          <a:extLst>
            <a:ext uri="{FF2B5EF4-FFF2-40B4-BE49-F238E27FC236}">
              <a16:creationId xmlns:a16="http://schemas.microsoft.com/office/drawing/2014/main" id="{0A3CF738-96DA-4928-BC28-7DAB7E7ED5E1}"/>
            </a:ext>
          </a:extLst>
        </xdr:cNvPr>
        <xdr:cNvSpPr/>
      </xdr:nvSpPr>
      <xdr:spPr>
        <a:xfrm rot="5400000" flipH="1">
          <a:off x="10577614" y="5727770"/>
          <a:ext cx="401713" cy="997744"/>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302354</xdr:colOff>
      <xdr:row>24</xdr:row>
      <xdr:rowOff>7662</xdr:rowOff>
    </xdr:from>
    <xdr:to>
      <xdr:col>12</xdr:col>
      <xdr:colOff>790509</xdr:colOff>
      <xdr:row>25</xdr:row>
      <xdr:rowOff>124151</xdr:rowOff>
    </xdr:to>
    <xdr:sp macro="" textlink="">
      <xdr:nvSpPr>
        <xdr:cNvPr id="17" name="CuadroTexto 16">
          <a:extLst>
            <a:ext uri="{FF2B5EF4-FFF2-40B4-BE49-F238E27FC236}">
              <a16:creationId xmlns:a16="http://schemas.microsoft.com/office/drawing/2014/main" id="{6805C3C7-A839-4AA4-9363-9FA3B58D3324}"/>
            </a:ext>
          </a:extLst>
        </xdr:cNvPr>
        <xdr:cNvSpPr txBox="1"/>
      </xdr:nvSpPr>
      <xdr:spPr>
        <a:xfrm>
          <a:off x="10573908" y="6443473"/>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13</xdr:col>
      <xdr:colOff>738703</xdr:colOff>
      <xdr:row>21</xdr:row>
      <xdr:rowOff>266892</xdr:rowOff>
    </xdr:from>
    <xdr:to>
      <xdr:col>15</xdr:col>
      <xdr:colOff>128716</xdr:colOff>
      <xdr:row>23</xdr:row>
      <xdr:rowOff>89383</xdr:rowOff>
    </xdr:to>
    <xdr:sp macro="" textlink="">
      <xdr:nvSpPr>
        <xdr:cNvPr id="18" name="Abrir llave 17">
          <a:extLst>
            <a:ext uri="{FF2B5EF4-FFF2-40B4-BE49-F238E27FC236}">
              <a16:creationId xmlns:a16="http://schemas.microsoft.com/office/drawing/2014/main" id="{94A51D57-2E20-4045-BA53-DB04541483D4}"/>
            </a:ext>
          </a:extLst>
        </xdr:cNvPr>
        <xdr:cNvSpPr/>
      </xdr:nvSpPr>
      <xdr:spPr>
        <a:xfrm rot="5400000" flipH="1">
          <a:off x="12190589" y="5625344"/>
          <a:ext cx="401713" cy="1011838"/>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265863</xdr:colOff>
      <xdr:row>23</xdr:row>
      <xdr:rowOff>118231</xdr:rowOff>
    </xdr:from>
    <xdr:to>
      <xdr:col>14</xdr:col>
      <xdr:colOff>754018</xdr:colOff>
      <xdr:row>25</xdr:row>
      <xdr:rowOff>41645</xdr:rowOff>
    </xdr:to>
    <xdr:sp macro="" textlink="">
      <xdr:nvSpPr>
        <xdr:cNvPr id="19" name="CuadroTexto 18">
          <a:extLst>
            <a:ext uri="{FF2B5EF4-FFF2-40B4-BE49-F238E27FC236}">
              <a16:creationId xmlns:a16="http://schemas.microsoft.com/office/drawing/2014/main" id="{972F9D93-19FE-4BCC-BF71-C2EA2BBF7FDA}"/>
            </a:ext>
          </a:extLst>
        </xdr:cNvPr>
        <xdr:cNvSpPr txBox="1"/>
      </xdr:nvSpPr>
      <xdr:spPr>
        <a:xfrm>
          <a:off x="12172113" y="6360967"/>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16</xdr:col>
      <xdr:colOff>22911</xdr:colOff>
      <xdr:row>21</xdr:row>
      <xdr:rowOff>231689</xdr:rowOff>
    </xdr:from>
    <xdr:to>
      <xdr:col>17</xdr:col>
      <xdr:colOff>90101</xdr:colOff>
      <xdr:row>23</xdr:row>
      <xdr:rowOff>54180</xdr:rowOff>
    </xdr:to>
    <xdr:sp macro="" textlink="">
      <xdr:nvSpPr>
        <xdr:cNvPr id="20" name="Abrir llave 19">
          <a:extLst>
            <a:ext uri="{FF2B5EF4-FFF2-40B4-BE49-F238E27FC236}">
              <a16:creationId xmlns:a16="http://schemas.microsoft.com/office/drawing/2014/main" id="{884C241F-D529-492A-9D75-D6B8AC36DF69}"/>
            </a:ext>
          </a:extLst>
        </xdr:cNvPr>
        <xdr:cNvSpPr/>
      </xdr:nvSpPr>
      <xdr:spPr>
        <a:xfrm rot="5400000" flipH="1">
          <a:off x="13763436" y="5682752"/>
          <a:ext cx="401713" cy="826616"/>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16</xdr:col>
      <xdr:colOff>239991</xdr:colOff>
      <xdr:row>23</xdr:row>
      <xdr:rowOff>108770</xdr:rowOff>
    </xdr:from>
    <xdr:to>
      <xdr:col>16</xdr:col>
      <xdr:colOff>728146</xdr:colOff>
      <xdr:row>25</xdr:row>
      <xdr:rowOff>32184</xdr:rowOff>
    </xdr:to>
    <xdr:sp macro="" textlink="">
      <xdr:nvSpPr>
        <xdr:cNvPr id="21" name="CuadroTexto 20">
          <a:extLst>
            <a:ext uri="{FF2B5EF4-FFF2-40B4-BE49-F238E27FC236}">
              <a16:creationId xmlns:a16="http://schemas.microsoft.com/office/drawing/2014/main" id="{96A0DFA1-3153-4233-B773-E611CCE9C6CC}"/>
            </a:ext>
          </a:extLst>
        </xdr:cNvPr>
        <xdr:cNvSpPr txBox="1"/>
      </xdr:nvSpPr>
      <xdr:spPr>
        <a:xfrm>
          <a:off x="13768065" y="6351506"/>
          <a:ext cx="48815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xdr:col>
      <xdr:colOff>391583</xdr:colOff>
      <xdr:row>29</xdr:row>
      <xdr:rowOff>31750</xdr:rowOff>
    </xdr:from>
    <xdr:to>
      <xdr:col>1</xdr:col>
      <xdr:colOff>1164166</xdr:colOff>
      <xdr:row>31</xdr:row>
      <xdr:rowOff>105304</xdr:rowOff>
    </xdr:to>
    <xdr:sp macro="" textlink="">
      <xdr:nvSpPr>
        <xdr:cNvPr id="22" name="Flecha: a la derecha 21">
          <a:extLst>
            <a:ext uri="{FF2B5EF4-FFF2-40B4-BE49-F238E27FC236}">
              <a16:creationId xmlns:a16="http://schemas.microsoft.com/office/drawing/2014/main" id="{B12683B3-9BD5-49E1-BC70-D59303B52B5B}"/>
            </a:ext>
          </a:extLst>
        </xdr:cNvPr>
        <xdr:cNvSpPr/>
      </xdr:nvSpPr>
      <xdr:spPr>
        <a:xfrm>
          <a:off x="698500" y="7387167"/>
          <a:ext cx="772583" cy="465137"/>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740834</xdr:colOff>
      <xdr:row>25</xdr:row>
      <xdr:rowOff>42334</xdr:rowOff>
    </xdr:from>
    <xdr:to>
      <xdr:col>10</xdr:col>
      <xdr:colOff>148168</xdr:colOff>
      <xdr:row>31</xdr:row>
      <xdr:rowOff>10583</xdr:rowOff>
    </xdr:to>
    <xdr:sp macro="" textlink="">
      <xdr:nvSpPr>
        <xdr:cNvPr id="23" name="CuadroTexto 22">
          <a:extLst>
            <a:ext uri="{FF2B5EF4-FFF2-40B4-BE49-F238E27FC236}">
              <a16:creationId xmlns:a16="http://schemas.microsoft.com/office/drawing/2014/main" id="{4F83318C-5152-4C97-A557-6B70C763178B}"/>
            </a:ext>
          </a:extLst>
        </xdr:cNvPr>
        <xdr:cNvSpPr txBox="1"/>
      </xdr:nvSpPr>
      <xdr:spPr>
        <a:xfrm>
          <a:off x="7133167" y="6635751"/>
          <a:ext cx="931334" cy="1121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Alternativas de Desición Desempeño ambiental </a:t>
          </a:r>
          <a:br>
            <a:rPr lang="es-CO" sz="1100" b="1" baseline="0">
              <a:latin typeface="Calibri" panose="020F0502020204030204" pitchFamily="34" charset="0"/>
              <a:cs typeface="Calibri" panose="020F0502020204030204" pitchFamily="34" charset="0"/>
            </a:rPr>
          </a:br>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7</xdr:col>
      <xdr:colOff>110597</xdr:colOff>
      <xdr:row>29</xdr:row>
      <xdr:rowOff>188913</xdr:rowOff>
    </xdr:from>
    <xdr:to>
      <xdr:col>7</xdr:col>
      <xdr:colOff>670192</xdr:colOff>
      <xdr:row>31</xdr:row>
      <xdr:rowOff>109273</xdr:rowOff>
    </xdr:to>
    <xdr:sp macro="" textlink="">
      <xdr:nvSpPr>
        <xdr:cNvPr id="24" name="Es igual a 23">
          <a:extLst>
            <a:ext uri="{FF2B5EF4-FFF2-40B4-BE49-F238E27FC236}">
              <a16:creationId xmlns:a16="http://schemas.microsoft.com/office/drawing/2014/main" id="{D3A9A2A6-B5FF-4D77-876C-DBADDA201F8E}"/>
            </a:ext>
          </a:extLst>
        </xdr:cNvPr>
        <xdr:cNvSpPr/>
      </xdr:nvSpPr>
      <xdr:spPr>
        <a:xfrm>
          <a:off x="5740930" y="7544330"/>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120122</xdr:colOff>
      <xdr:row>27</xdr:row>
      <xdr:rowOff>127000</xdr:rowOff>
    </xdr:from>
    <xdr:to>
      <xdr:col>7</xdr:col>
      <xdr:colOff>679717</xdr:colOff>
      <xdr:row>29</xdr:row>
      <xdr:rowOff>57943</xdr:rowOff>
    </xdr:to>
    <xdr:sp macro="" textlink="">
      <xdr:nvSpPr>
        <xdr:cNvPr id="25" name="Es igual a 24">
          <a:extLst>
            <a:ext uri="{FF2B5EF4-FFF2-40B4-BE49-F238E27FC236}">
              <a16:creationId xmlns:a16="http://schemas.microsoft.com/office/drawing/2014/main" id="{F7ED9E7A-674E-417D-BB3D-682DE676CB52}"/>
            </a:ext>
          </a:extLst>
        </xdr:cNvPr>
        <xdr:cNvSpPr/>
      </xdr:nvSpPr>
      <xdr:spPr>
        <a:xfrm>
          <a:off x="5750455" y="7101417"/>
          <a:ext cx="559595" cy="311943"/>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105834</xdr:colOff>
      <xdr:row>31</xdr:row>
      <xdr:rowOff>161661</xdr:rowOff>
    </xdr:from>
    <xdr:to>
      <xdr:col>7</xdr:col>
      <xdr:colOff>665429</xdr:colOff>
      <xdr:row>33</xdr:row>
      <xdr:rowOff>80698</xdr:rowOff>
    </xdr:to>
    <xdr:sp macro="" textlink="">
      <xdr:nvSpPr>
        <xdr:cNvPr id="26" name="Es igual a 25">
          <a:extLst>
            <a:ext uri="{FF2B5EF4-FFF2-40B4-BE49-F238E27FC236}">
              <a16:creationId xmlns:a16="http://schemas.microsoft.com/office/drawing/2014/main" id="{45BF7AF0-A5B1-47BE-AEF0-036E320DCDCD}"/>
            </a:ext>
          </a:extLst>
        </xdr:cNvPr>
        <xdr:cNvSpPr/>
      </xdr:nvSpPr>
      <xdr:spPr>
        <a:xfrm>
          <a:off x="5736167" y="7908661"/>
          <a:ext cx="559595" cy="30003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305403</xdr:colOff>
      <xdr:row>30</xdr:row>
      <xdr:rowOff>111003</xdr:rowOff>
    </xdr:from>
    <xdr:to>
      <xdr:col>9</xdr:col>
      <xdr:colOff>566287</xdr:colOff>
      <xdr:row>31</xdr:row>
      <xdr:rowOff>180170</xdr:rowOff>
    </xdr:to>
    <xdr:sp macro="" textlink="">
      <xdr:nvSpPr>
        <xdr:cNvPr id="27" name="Flecha: a la derecha 26">
          <a:extLst>
            <a:ext uri="{FF2B5EF4-FFF2-40B4-BE49-F238E27FC236}">
              <a16:creationId xmlns:a16="http://schemas.microsoft.com/office/drawing/2014/main" id="{D137AB90-5E6A-4B77-8201-7777D7B9EBF5}"/>
            </a:ext>
          </a:extLst>
        </xdr:cNvPr>
        <xdr:cNvSpPr/>
      </xdr:nvSpPr>
      <xdr:spPr>
        <a:xfrm rot="5400000">
          <a:off x="7455053" y="7661603"/>
          <a:ext cx="270250"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181811</xdr:colOff>
      <xdr:row>46</xdr:row>
      <xdr:rowOff>23880</xdr:rowOff>
    </xdr:from>
    <xdr:to>
      <xdr:col>5</xdr:col>
      <xdr:colOff>19949</xdr:colOff>
      <xdr:row>47</xdr:row>
      <xdr:rowOff>140369</xdr:rowOff>
    </xdr:to>
    <xdr:sp macro="" textlink="">
      <xdr:nvSpPr>
        <xdr:cNvPr id="28" name="CuadroTexto 27">
          <a:extLst>
            <a:ext uri="{FF2B5EF4-FFF2-40B4-BE49-F238E27FC236}">
              <a16:creationId xmlns:a16="http://schemas.microsoft.com/office/drawing/2014/main" id="{02660573-5CC8-4E05-9866-359AEBF24112}"/>
            </a:ext>
          </a:extLst>
        </xdr:cNvPr>
        <xdr:cNvSpPr txBox="1"/>
      </xdr:nvSpPr>
      <xdr:spPr>
        <a:xfrm>
          <a:off x="3286714" y="6357386"/>
          <a:ext cx="728787" cy="302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1235675</xdr:colOff>
      <xdr:row>44</xdr:row>
      <xdr:rowOff>76651</xdr:rowOff>
    </xdr:from>
    <xdr:to>
      <xdr:col>7</xdr:col>
      <xdr:colOff>51164</xdr:colOff>
      <xdr:row>46</xdr:row>
      <xdr:rowOff>92215</xdr:rowOff>
    </xdr:to>
    <xdr:sp macro="" textlink="">
      <xdr:nvSpPr>
        <xdr:cNvPr id="29" name="Abrir llave 28">
          <a:extLst>
            <a:ext uri="{FF2B5EF4-FFF2-40B4-BE49-F238E27FC236}">
              <a16:creationId xmlns:a16="http://schemas.microsoft.com/office/drawing/2014/main" id="{74039461-27F9-4E2B-A187-03B7112D4063}"/>
            </a:ext>
          </a:extLst>
        </xdr:cNvPr>
        <xdr:cNvSpPr/>
      </xdr:nvSpPr>
      <xdr:spPr>
        <a:xfrm rot="5400000" flipH="1">
          <a:off x="3431287" y="4152695"/>
          <a:ext cx="386667" cy="415938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8045</xdr:colOff>
      <xdr:row>43</xdr:row>
      <xdr:rowOff>362271</xdr:rowOff>
    </xdr:from>
    <xdr:to>
      <xdr:col>13</xdr:col>
      <xdr:colOff>130519</xdr:colOff>
      <xdr:row>45</xdr:row>
      <xdr:rowOff>184762</xdr:rowOff>
    </xdr:to>
    <xdr:sp macro="" textlink="">
      <xdr:nvSpPr>
        <xdr:cNvPr id="30" name="Abrir llave 29">
          <a:extLst>
            <a:ext uri="{FF2B5EF4-FFF2-40B4-BE49-F238E27FC236}">
              <a16:creationId xmlns:a16="http://schemas.microsoft.com/office/drawing/2014/main" id="{8DA21B08-B7DA-4115-B3CB-164DE6D7DADF}"/>
            </a:ext>
          </a:extLst>
        </xdr:cNvPr>
        <xdr:cNvSpPr/>
      </xdr:nvSpPr>
      <xdr:spPr>
        <a:xfrm rot="5400000" flipH="1">
          <a:off x="9862403" y="5636582"/>
          <a:ext cx="391517" cy="1000753"/>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302354</xdr:colOff>
      <xdr:row>46</xdr:row>
      <xdr:rowOff>7662</xdr:rowOff>
    </xdr:from>
    <xdr:to>
      <xdr:col>12</xdr:col>
      <xdr:colOff>790509</xdr:colOff>
      <xdr:row>47</xdr:row>
      <xdr:rowOff>124151</xdr:rowOff>
    </xdr:to>
    <xdr:sp macro="" textlink="">
      <xdr:nvSpPr>
        <xdr:cNvPr id="31" name="CuadroTexto 30">
          <a:extLst>
            <a:ext uri="{FF2B5EF4-FFF2-40B4-BE49-F238E27FC236}">
              <a16:creationId xmlns:a16="http://schemas.microsoft.com/office/drawing/2014/main" id="{D2854EBB-F68E-469E-9BAB-F214EC1986AB}"/>
            </a:ext>
          </a:extLst>
        </xdr:cNvPr>
        <xdr:cNvSpPr txBox="1"/>
      </xdr:nvSpPr>
      <xdr:spPr>
        <a:xfrm>
          <a:off x="9852094" y="6341168"/>
          <a:ext cx="488155" cy="302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13</xdr:col>
      <xdr:colOff>738703</xdr:colOff>
      <xdr:row>43</xdr:row>
      <xdr:rowOff>266892</xdr:rowOff>
    </xdr:from>
    <xdr:to>
      <xdr:col>15</xdr:col>
      <xdr:colOff>128716</xdr:colOff>
      <xdr:row>45</xdr:row>
      <xdr:rowOff>89383</xdr:rowOff>
    </xdr:to>
    <xdr:sp macro="" textlink="">
      <xdr:nvSpPr>
        <xdr:cNvPr id="32" name="Abrir llave 31">
          <a:extLst>
            <a:ext uri="{FF2B5EF4-FFF2-40B4-BE49-F238E27FC236}">
              <a16:creationId xmlns:a16="http://schemas.microsoft.com/office/drawing/2014/main" id="{3AD404EB-43CD-4AD3-86C8-0C34159495DA}"/>
            </a:ext>
          </a:extLst>
        </xdr:cNvPr>
        <xdr:cNvSpPr/>
      </xdr:nvSpPr>
      <xdr:spPr>
        <a:xfrm rot="5400000" flipH="1">
          <a:off x="11476213" y="5536330"/>
          <a:ext cx="391517" cy="1010500"/>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265863</xdr:colOff>
      <xdr:row>45</xdr:row>
      <xdr:rowOff>118231</xdr:rowOff>
    </xdr:from>
    <xdr:to>
      <xdr:col>14</xdr:col>
      <xdr:colOff>754018</xdr:colOff>
      <xdr:row>47</xdr:row>
      <xdr:rowOff>41645</xdr:rowOff>
    </xdr:to>
    <xdr:sp macro="" textlink="">
      <xdr:nvSpPr>
        <xdr:cNvPr id="33" name="CuadroTexto 32">
          <a:extLst>
            <a:ext uri="{FF2B5EF4-FFF2-40B4-BE49-F238E27FC236}">
              <a16:creationId xmlns:a16="http://schemas.microsoft.com/office/drawing/2014/main" id="{C5C2CDCE-2991-4670-8EE5-CF663BBFD181}"/>
            </a:ext>
          </a:extLst>
        </xdr:cNvPr>
        <xdr:cNvSpPr txBox="1"/>
      </xdr:nvSpPr>
      <xdr:spPr>
        <a:xfrm>
          <a:off x="11460831" y="6266186"/>
          <a:ext cx="488155" cy="294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16</xdr:col>
      <xdr:colOff>22911</xdr:colOff>
      <xdr:row>43</xdr:row>
      <xdr:rowOff>231689</xdr:rowOff>
    </xdr:from>
    <xdr:to>
      <xdr:col>17</xdr:col>
      <xdr:colOff>90101</xdr:colOff>
      <xdr:row>45</xdr:row>
      <xdr:rowOff>54180</xdr:rowOff>
    </xdr:to>
    <xdr:sp macro="" textlink="">
      <xdr:nvSpPr>
        <xdr:cNvPr id="34" name="Abrir llave 33">
          <a:extLst>
            <a:ext uri="{FF2B5EF4-FFF2-40B4-BE49-F238E27FC236}">
              <a16:creationId xmlns:a16="http://schemas.microsoft.com/office/drawing/2014/main" id="{4902BA1F-F900-43AD-A8A4-EB7A355E515F}"/>
            </a:ext>
          </a:extLst>
        </xdr:cNvPr>
        <xdr:cNvSpPr/>
      </xdr:nvSpPr>
      <xdr:spPr>
        <a:xfrm rot="5400000" flipH="1">
          <a:off x="13059676" y="5589308"/>
          <a:ext cx="391517" cy="834138"/>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16</xdr:col>
      <xdr:colOff>239991</xdr:colOff>
      <xdr:row>45</xdr:row>
      <xdr:rowOff>108770</xdr:rowOff>
    </xdr:from>
    <xdr:to>
      <xdr:col>16</xdr:col>
      <xdr:colOff>728146</xdr:colOff>
      <xdr:row>47</xdr:row>
      <xdr:rowOff>32184</xdr:rowOff>
    </xdr:to>
    <xdr:sp macro="" textlink="">
      <xdr:nvSpPr>
        <xdr:cNvPr id="35" name="CuadroTexto 34">
          <a:extLst>
            <a:ext uri="{FF2B5EF4-FFF2-40B4-BE49-F238E27FC236}">
              <a16:creationId xmlns:a16="http://schemas.microsoft.com/office/drawing/2014/main" id="{83434A4B-9233-43A4-A4DB-1AFF8E173343}"/>
            </a:ext>
          </a:extLst>
        </xdr:cNvPr>
        <xdr:cNvSpPr txBox="1"/>
      </xdr:nvSpPr>
      <xdr:spPr>
        <a:xfrm>
          <a:off x="13055446" y="6256725"/>
          <a:ext cx="488155" cy="294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xdr:col>
      <xdr:colOff>391583</xdr:colOff>
      <xdr:row>51</xdr:row>
      <xdr:rowOff>31750</xdr:rowOff>
    </xdr:from>
    <xdr:to>
      <xdr:col>1</xdr:col>
      <xdr:colOff>1164166</xdr:colOff>
      <xdr:row>53</xdr:row>
      <xdr:rowOff>105304</xdr:rowOff>
    </xdr:to>
    <xdr:sp macro="" textlink="">
      <xdr:nvSpPr>
        <xdr:cNvPr id="36" name="Flecha: a la derecha 35">
          <a:extLst>
            <a:ext uri="{FF2B5EF4-FFF2-40B4-BE49-F238E27FC236}">
              <a16:creationId xmlns:a16="http://schemas.microsoft.com/office/drawing/2014/main" id="{F20B5D99-1D65-43BE-9530-FA216EC9D523}"/>
            </a:ext>
          </a:extLst>
        </xdr:cNvPr>
        <xdr:cNvSpPr/>
      </xdr:nvSpPr>
      <xdr:spPr>
        <a:xfrm>
          <a:off x="700836" y="7293016"/>
          <a:ext cx="772583" cy="45702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740834</xdr:colOff>
      <xdr:row>47</xdr:row>
      <xdr:rowOff>42334</xdr:rowOff>
    </xdr:from>
    <xdr:to>
      <xdr:col>10</xdr:col>
      <xdr:colOff>148168</xdr:colOff>
      <xdr:row>53</xdr:row>
      <xdr:rowOff>10583</xdr:rowOff>
    </xdr:to>
    <xdr:sp macro="" textlink="">
      <xdr:nvSpPr>
        <xdr:cNvPr id="37" name="CuadroTexto 36">
          <a:extLst>
            <a:ext uri="{FF2B5EF4-FFF2-40B4-BE49-F238E27FC236}">
              <a16:creationId xmlns:a16="http://schemas.microsoft.com/office/drawing/2014/main" id="{AB70CB81-5755-494D-B4C9-1D8CE965870A}"/>
            </a:ext>
          </a:extLst>
        </xdr:cNvPr>
        <xdr:cNvSpPr txBox="1"/>
      </xdr:nvSpPr>
      <xdr:spPr>
        <a:xfrm>
          <a:off x="7160931" y="6561392"/>
          <a:ext cx="941231" cy="1093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Alternativas de Desición Desempeño ambiental </a:t>
          </a:r>
          <a:br>
            <a:rPr lang="es-CO" sz="1100" b="1" baseline="0">
              <a:latin typeface="Calibri" panose="020F0502020204030204" pitchFamily="34" charset="0"/>
              <a:cs typeface="Calibri" panose="020F0502020204030204" pitchFamily="34" charset="0"/>
            </a:rPr>
          </a:br>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7</xdr:col>
      <xdr:colOff>110597</xdr:colOff>
      <xdr:row>51</xdr:row>
      <xdr:rowOff>188913</xdr:rowOff>
    </xdr:from>
    <xdr:to>
      <xdr:col>7</xdr:col>
      <xdr:colOff>670192</xdr:colOff>
      <xdr:row>53</xdr:row>
      <xdr:rowOff>109273</xdr:rowOff>
    </xdr:to>
    <xdr:sp macro="" textlink="">
      <xdr:nvSpPr>
        <xdr:cNvPr id="38" name="Es igual a 37">
          <a:extLst>
            <a:ext uri="{FF2B5EF4-FFF2-40B4-BE49-F238E27FC236}">
              <a16:creationId xmlns:a16="http://schemas.microsoft.com/office/drawing/2014/main" id="{5E9433F7-D6FF-45C2-A595-62EBA874523A}"/>
            </a:ext>
          </a:extLst>
        </xdr:cNvPr>
        <xdr:cNvSpPr/>
      </xdr:nvSpPr>
      <xdr:spPr>
        <a:xfrm>
          <a:off x="5763746" y="7450179"/>
          <a:ext cx="559595" cy="303834"/>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120122</xdr:colOff>
      <xdr:row>49</xdr:row>
      <xdr:rowOff>127000</xdr:rowOff>
    </xdr:from>
    <xdr:to>
      <xdr:col>7</xdr:col>
      <xdr:colOff>679717</xdr:colOff>
      <xdr:row>51</xdr:row>
      <xdr:rowOff>57943</xdr:rowOff>
    </xdr:to>
    <xdr:sp macro="" textlink="">
      <xdr:nvSpPr>
        <xdr:cNvPr id="39" name="Es igual a 38">
          <a:extLst>
            <a:ext uri="{FF2B5EF4-FFF2-40B4-BE49-F238E27FC236}">
              <a16:creationId xmlns:a16="http://schemas.microsoft.com/office/drawing/2014/main" id="{D87099D8-0C50-4944-BC72-53B296AB2855}"/>
            </a:ext>
          </a:extLst>
        </xdr:cNvPr>
        <xdr:cNvSpPr/>
      </xdr:nvSpPr>
      <xdr:spPr>
        <a:xfrm>
          <a:off x="5773271" y="7017162"/>
          <a:ext cx="559595" cy="30204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105834</xdr:colOff>
      <xdr:row>53</xdr:row>
      <xdr:rowOff>161661</xdr:rowOff>
    </xdr:from>
    <xdr:to>
      <xdr:col>7</xdr:col>
      <xdr:colOff>665429</xdr:colOff>
      <xdr:row>55</xdr:row>
      <xdr:rowOff>80698</xdr:rowOff>
    </xdr:to>
    <xdr:sp macro="" textlink="">
      <xdr:nvSpPr>
        <xdr:cNvPr id="40" name="Es igual a 39">
          <a:extLst>
            <a:ext uri="{FF2B5EF4-FFF2-40B4-BE49-F238E27FC236}">
              <a16:creationId xmlns:a16="http://schemas.microsoft.com/office/drawing/2014/main" id="{5F8728C1-3DCD-410F-B867-0705CE23F1D7}"/>
            </a:ext>
          </a:extLst>
        </xdr:cNvPr>
        <xdr:cNvSpPr/>
      </xdr:nvSpPr>
      <xdr:spPr>
        <a:xfrm>
          <a:off x="5758983" y="7806401"/>
          <a:ext cx="559595" cy="290141"/>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305403</xdr:colOff>
      <xdr:row>52</xdr:row>
      <xdr:rowOff>111003</xdr:rowOff>
    </xdr:from>
    <xdr:to>
      <xdr:col>9</xdr:col>
      <xdr:colOff>566287</xdr:colOff>
      <xdr:row>53</xdr:row>
      <xdr:rowOff>180170</xdr:rowOff>
    </xdr:to>
    <xdr:sp macro="" textlink="">
      <xdr:nvSpPr>
        <xdr:cNvPr id="41" name="Flecha: a la derecha 40">
          <a:extLst>
            <a:ext uri="{FF2B5EF4-FFF2-40B4-BE49-F238E27FC236}">
              <a16:creationId xmlns:a16="http://schemas.microsoft.com/office/drawing/2014/main" id="{B23A8434-0F28-4D59-B4EC-89808C82242B}"/>
            </a:ext>
          </a:extLst>
        </xdr:cNvPr>
        <xdr:cNvSpPr/>
      </xdr:nvSpPr>
      <xdr:spPr>
        <a:xfrm rot="5400000">
          <a:off x="7489345" y="7560924"/>
          <a:ext cx="267089"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181811</xdr:colOff>
      <xdr:row>68</xdr:row>
      <xdr:rowOff>23880</xdr:rowOff>
    </xdr:from>
    <xdr:to>
      <xdr:col>5</xdr:col>
      <xdr:colOff>19949</xdr:colOff>
      <xdr:row>69</xdr:row>
      <xdr:rowOff>140369</xdr:rowOff>
    </xdr:to>
    <xdr:sp macro="" textlink="">
      <xdr:nvSpPr>
        <xdr:cNvPr id="42" name="CuadroTexto 41">
          <a:extLst>
            <a:ext uri="{FF2B5EF4-FFF2-40B4-BE49-F238E27FC236}">
              <a16:creationId xmlns:a16="http://schemas.microsoft.com/office/drawing/2014/main" id="{5FB718CF-02A2-4F18-A15E-C97E57B9CB2D}"/>
            </a:ext>
          </a:extLst>
        </xdr:cNvPr>
        <xdr:cNvSpPr txBox="1"/>
      </xdr:nvSpPr>
      <xdr:spPr>
        <a:xfrm>
          <a:off x="3286714" y="12431120"/>
          <a:ext cx="728787" cy="302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1235675</xdr:colOff>
      <xdr:row>66</xdr:row>
      <xdr:rowOff>76651</xdr:rowOff>
    </xdr:from>
    <xdr:to>
      <xdr:col>7</xdr:col>
      <xdr:colOff>51164</xdr:colOff>
      <xdr:row>68</xdr:row>
      <xdr:rowOff>92215</xdr:rowOff>
    </xdr:to>
    <xdr:sp macro="" textlink="">
      <xdr:nvSpPr>
        <xdr:cNvPr id="43" name="Abrir llave 42">
          <a:extLst>
            <a:ext uri="{FF2B5EF4-FFF2-40B4-BE49-F238E27FC236}">
              <a16:creationId xmlns:a16="http://schemas.microsoft.com/office/drawing/2014/main" id="{891D5CA8-DE8B-4B3B-B204-D56B04FA6649}"/>
            </a:ext>
          </a:extLst>
        </xdr:cNvPr>
        <xdr:cNvSpPr/>
      </xdr:nvSpPr>
      <xdr:spPr>
        <a:xfrm rot="5400000" flipH="1">
          <a:off x="3431287" y="10226428"/>
          <a:ext cx="386668" cy="415938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8045</xdr:colOff>
      <xdr:row>65</xdr:row>
      <xdr:rowOff>362271</xdr:rowOff>
    </xdr:from>
    <xdr:to>
      <xdr:col>13</xdr:col>
      <xdr:colOff>130519</xdr:colOff>
      <xdr:row>67</xdr:row>
      <xdr:rowOff>184762</xdr:rowOff>
    </xdr:to>
    <xdr:sp macro="" textlink="">
      <xdr:nvSpPr>
        <xdr:cNvPr id="44" name="Abrir llave 43">
          <a:extLst>
            <a:ext uri="{FF2B5EF4-FFF2-40B4-BE49-F238E27FC236}">
              <a16:creationId xmlns:a16="http://schemas.microsoft.com/office/drawing/2014/main" id="{1DD9DE42-422E-4153-B86E-140E5086E676}"/>
            </a:ext>
          </a:extLst>
        </xdr:cNvPr>
        <xdr:cNvSpPr/>
      </xdr:nvSpPr>
      <xdr:spPr>
        <a:xfrm rot="5400000" flipH="1">
          <a:off x="9862403" y="11710315"/>
          <a:ext cx="391517" cy="1000753"/>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302354</xdr:colOff>
      <xdr:row>68</xdr:row>
      <xdr:rowOff>7662</xdr:rowOff>
    </xdr:from>
    <xdr:to>
      <xdr:col>12</xdr:col>
      <xdr:colOff>790509</xdr:colOff>
      <xdr:row>69</xdr:row>
      <xdr:rowOff>124151</xdr:rowOff>
    </xdr:to>
    <xdr:sp macro="" textlink="">
      <xdr:nvSpPr>
        <xdr:cNvPr id="45" name="CuadroTexto 44">
          <a:extLst>
            <a:ext uri="{FF2B5EF4-FFF2-40B4-BE49-F238E27FC236}">
              <a16:creationId xmlns:a16="http://schemas.microsoft.com/office/drawing/2014/main" id="{B5D348C5-8846-447E-A57F-796D488BB59E}"/>
            </a:ext>
          </a:extLst>
        </xdr:cNvPr>
        <xdr:cNvSpPr txBox="1"/>
      </xdr:nvSpPr>
      <xdr:spPr>
        <a:xfrm>
          <a:off x="9852094" y="12414902"/>
          <a:ext cx="488155" cy="302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13</xdr:col>
      <xdr:colOff>738703</xdr:colOff>
      <xdr:row>65</xdr:row>
      <xdr:rowOff>266892</xdr:rowOff>
    </xdr:from>
    <xdr:to>
      <xdr:col>15</xdr:col>
      <xdr:colOff>128716</xdr:colOff>
      <xdr:row>67</xdr:row>
      <xdr:rowOff>89383</xdr:rowOff>
    </xdr:to>
    <xdr:sp macro="" textlink="">
      <xdr:nvSpPr>
        <xdr:cNvPr id="46" name="Abrir llave 45">
          <a:extLst>
            <a:ext uri="{FF2B5EF4-FFF2-40B4-BE49-F238E27FC236}">
              <a16:creationId xmlns:a16="http://schemas.microsoft.com/office/drawing/2014/main" id="{B5703648-3379-4EF0-97E7-3D77449C5157}"/>
            </a:ext>
          </a:extLst>
        </xdr:cNvPr>
        <xdr:cNvSpPr/>
      </xdr:nvSpPr>
      <xdr:spPr>
        <a:xfrm rot="5400000" flipH="1">
          <a:off x="11476213" y="11610063"/>
          <a:ext cx="391517" cy="1010500"/>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265863</xdr:colOff>
      <xdr:row>67</xdr:row>
      <xdr:rowOff>118231</xdr:rowOff>
    </xdr:from>
    <xdr:to>
      <xdr:col>14</xdr:col>
      <xdr:colOff>754018</xdr:colOff>
      <xdr:row>69</xdr:row>
      <xdr:rowOff>41645</xdr:rowOff>
    </xdr:to>
    <xdr:sp macro="" textlink="">
      <xdr:nvSpPr>
        <xdr:cNvPr id="47" name="CuadroTexto 46">
          <a:extLst>
            <a:ext uri="{FF2B5EF4-FFF2-40B4-BE49-F238E27FC236}">
              <a16:creationId xmlns:a16="http://schemas.microsoft.com/office/drawing/2014/main" id="{9C55983C-97FC-47B7-8376-6B1AB5C50714}"/>
            </a:ext>
          </a:extLst>
        </xdr:cNvPr>
        <xdr:cNvSpPr txBox="1"/>
      </xdr:nvSpPr>
      <xdr:spPr>
        <a:xfrm>
          <a:off x="11460831" y="12339919"/>
          <a:ext cx="488155" cy="294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16</xdr:col>
      <xdr:colOff>22911</xdr:colOff>
      <xdr:row>65</xdr:row>
      <xdr:rowOff>231689</xdr:rowOff>
    </xdr:from>
    <xdr:to>
      <xdr:col>17</xdr:col>
      <xdr:colOff>90101</xdr:colOff>
      <xdr:row>67</xdr:row>
      <xdr:rowOff>54180</xdr:rowOff>
    </xdr:to>
    <xdr:sp macro="" textlink="">
      <xdr:nvSpPr>
        <xdr:cNvPr id="48" name="Abrir llave 47">
          <a:extLst>
            <a:ext uri="{FF2B5EF4-FFF2-40B4-BE49-F238E27FC236}">
              <a16:creationId xmlns:a16="http://schemas.microsoft.com/office/drawing/2014/main" id="{C94051F2-B310-4C9F-BE72-5D8C3A2AB44D}"/>
            </a:ext>
          </a:extLst>
        </xdr:cNvPr>
        <xdr:cNvSpPr/>
      </xdr:nvSpPr>
      <xdr:spPr>
        <a:xfrm rot="5400000" flipH="1">
          <a:off x="13059676" y="11663041"/>
          <a:ext cx="391517" cy="834138"/>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16</xdr:col>
      <xdr:colOff>239991</xdr:colOff>
      <xdr:row>67</xdr:row>
      <xdr:rowOff>108770</xdr:rowOff>
    </xdr:from>
    <xdr:to>
      <xdr:col>16</xdr:col>
      <xdr:colOff>728146</xdr:colOff>
      <xdr:row>69</xdr:row>
      <xdr:rowOff>32184</xdr:rowOff>
    </xdr:to>
    <xdr:sp macro="" textlink="">
      <xdr:nvSpPr>
        <xdr:cNvPr id="49" name="CuadroTexto 48">
          <a:extLst>
            <a:ext uri="{FF2B5EF4-FFF2-40B4-BE49-F238E27FC236}">
              <a16:creationId xmlns:a16="http://schemas.microsoft.com/office/drawing/2014/main" id="{2AA95372-18CF-40BB-BE32-FBACB6F63CC4}"/>
            </a:ext>
          </a:extLst>
        </xdr:cNvPr>
        <xdr:cNvSpPr txBox="1"/>
      </xdr:nvSpPr>
      <xdr:spPr>
        <a:xfrm>
          <a:off x="13055446" y="12330458"/>
          <a:ext cx="488155" cy="294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xdr:col>
      <xdr:colOff>391583</xdr:colOff>
      <xdr:row>73</xdr:row>
      <xdr:rowOff>31750</xdr:rowOff>
    </xdr:from>
    <xdr:to>
      <xdr:col>1</xdr:col>
      <xdr:colOff>1164166</xdr:colOff>
      <xdr:row>75</xdr:row>
      <xdr:rowOff>105304</xdr:rowOff>
    </xdr:to>
    <xdr:sp macro="" textlink="">
      <xdr:nvSpPr>
        <xdr:cNvPr id="50" name="Flecha: a la derecha 49">
          <a:extLst>
            <a:ext uri="{FF2B5EF4-FFF2-40B4-BE49-F238E27FC236}">
              <a16:creationId xmlns:a16="http://schemas.microsoft.com/office/drawing/2014/main" id="{2AD39046-8F8C-4E1F-9DFB-85DAEFE9BAAA}"/>
            </a:ext>
          </a:extLst>
        </xdr:cNvPr>
        <xdr:cNvSpPr/>
      </xdr:nvSpPr>
      <xdr:spPr>
        <a:xfrm>
          <a:off x="700836" y="13366750"/>
          <a:ext cx="772583" cy="45702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740834</xdr:colOff>
      <xdr:row>69</xdr:row>
      <xdr:rowOff>42334</xdr:rowOff>
    </xdr:from>
    <xdr:to>
      <xdr:col>10</xdr:col>
      <xdr:colOff>148168</xdr:colOff>
      <xdr:row>75</xdr:row>
      <xdr:rowOff>10583</xdr:rowOff>
    </xdr:to>
    <xdr:sp macro="" textlink="">
      <xdr:nvSpPr>
        <xdr:cNvPr id="51" name="CuadroTexto 50">
          <a:extLst>
            <a:ext uri="{FF2B5EF4-FFF2-40B4-BE49-F238E27FC236}">
              <a16:creationId xmlns:a16="http://schemas.microsoft.com/office/drawing/2014/main" id="{D9ECC1E9-2156-4E08-9A06-369AED8032F6}"/>
            </a:ext>
          </a:extLst>
        </xdr:cNvPr>
        <xdr:cNvSpPr txBox="1"/>
      </xdr:nvSpPr>
      <xdr:spPr>
        <a:xfrm>
          <a:off x="7160931" y="12635126"/>
          <a:ext cx="941231" cy="1093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Alternativas de Desición Desempeño ambiental </a:t>
          </a:r>
          <a:br>
            <a:rPr lang="es-CO" sz="1100" b="1" baseline="0">
              <a:latin typeface="Calibri" panose="020F0502020204030204" pitchFamily="34" charset="0"/>
              <a:cs typeface="Calibri" panose="020F0502020204030204" pitchFamily="34" charset="0"/>
            </a:rPr>
          </a:br>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7</xdr:col>
      <xdr:colOff>110597</xdr:colOff>
      <xdr:row>73</xdr:row>
      <xdr:rowOff>188913</xdr:rowOff>
    </xdr:from>
    <xdr:to>
      <xdr:col>7</xdr:col>
      <xdr:colOff>670192</xdr:colOff>
      <xdr:row>75</xdr:row>
      <xdr:rowOff>109273</xdr:rowOff>
    </xdr:to>
    <xdr:sp macro="" textlink="">
      <xdr:nvSpPr>
        <xdr:cNvPr id="52" name="Es igual a 51">
          <a:extLst>
            <a:ext uri="{FF2B5EF4-FFF2-40B4-BE49-F238E27FC236}">
              <a16:creationId xmlns:a16="http://schemas.microsoft.com/office/drawing/2014/main" id="{5FDBA406-80AF-45FC-A4D9-A2094E304EE3}"/>
            </a:ext>
          </a:extLst>
        </xdr:cNvPr>
        <xdr:cNvSpPr/>
      </xdr:nvSpPr>
      <xdr:spPr>
        <a:xfrm>
          <a:off x="5763746" y="13523913"/>
          <a:ext cx="559595" cy="303834"/>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120122</xdr:colOff>
      <xdr:row>71</xdr:row>
      <xdr:rowOff>127000</xdr:rowOff>
    </xdr:from>
    <xdr:to>
      <xdr:col>7</xdr:col>
      <xdr:colOff>679717</xdr:colOff>
      <xdr:row>73</xdr:row>
      <xdr:rowOff>57943</xdr:rowOff>
    </xdr:to>
    <xdr:sp macro="" textlink="">
      <xdr:nvSpPr>
        <xdr:cNvPr id="53" name="Es igual a 52">
          <a:extLst>
            <a:ext uri="{FF2B5EF4-FFF2-40B4-BE49-F238E27FC236}">
              <a16:creationId xmlns:a16="http://schemas.microsoft.com/office/drawing/2014/main" id="{47ED3B50-7273-4738-AEFC-F2D14FD4C779}"/>
            </a:ext>
          </a:extLst>
        </xdr:cNvPr>
        <xdr:cNvSpPr/>
      </xdr:nvSpPr>
      <xdr:spPr>
        <a:xfrm>
          <a:off x="5773271" y="13090896"/>
          <a:ext cx="559595" cy="30204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105834</xdr:colOff>
      <xdr:row>75</xdr:row>
      <xdr:rowOff>161661</xdr:rowOff>
    </xdr:from>
    <xdr:to>
      <xdr:col>7</xdr:col>
      <xdr:colOff>665429</xdr:colOff>
      <xdr:row>77</xdr:row>
      <xdr:rowOff>80698</xdr:rowOff>
    </xdr:to>
    <xdr:sp macro="" textlink="">
      <xdr:nvSpPr>
        <xdr:cNvPr id="54" name="Es igual a 53">
          <a:extLst>
            <a:ext uri="{FF2B5EF4-FFF2-40B4-BE49-F238E27FC236}">
              <a16:creationId xmlns:a16="http://schemas.microsoft.com/office/drawing/2014/main" id="{BB31A575-94BD-4482-AF4F-6BA21AC58866}"/>
            </a:ext>
          </a:extLst>
        </xdr:cNvPr>
        <xdr:cNvSpPr/>
      </xdr:nvSpPr>
      <xdr:spPr>
        <a:xfrm>
          <a:off x="5758983" y="13880135"/>
          <a:ext cx="559595" cy="290141"/>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305403</xdr:colOff>
      <xdr:row>74</xdr:row>
      <xdr:rowOff>111003</xdr:rowOff>
    </xdr:from>
    <xdr:to>
      <xdr:col>9</xdr:col>
      <xdr:colOff>566287</xdr:colOff>
      <xdr:row>75</xdr:row>
      <xdr:rowOff>180170</xdr:rowOff>
    </xdr:to>
    <xdr:sp macro="" textlink="">
      <xdr:nvSpPr>
        <xdr:cNvPr id="55" name="Flecha: a la derecha 54">
          <a:extLst>
            <a:ext uri="{FF2B5EF4-FFF2-40B4-BE49-F238E27FC236}">
              <a16:creationId xmlns:a16="http://schemas.microsoft.com/office/drawing/2014/main" id="{71E6983A-0F9B-4B60-A5EE-6006AA7B0C78}"/>
            </a:ext>
          </a:extLst>
        </xdr:cNvPr>
        <xdr:cNvSpPr/>
      </xdr:nvSpPr>
      <xdr:spPr>
        <a:xfrm rot="5400000">
          <a:off x="7489345" y="13634658"/>
          <a:ext cx="267089"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181811</xdr:colOff>
      <xdr:row>91</xdr:row>
      <xdr:rowOff>23880</xdr:rowOff>
    </xdr:from>
    <xdr:to>
      <xdr:col>5</xdr:col>
      <xdr:colOff>19949</xdr:colOff>
      <xdr:row>92</xdr:row>
      <xdr:rowOff>140369</xdr:rowOff>
    </xdr:to>
    <xdr:sp macro="" textlink="">
      <xdr:nvSpPr>
        <xdr:cNvPr id="56" name="CuadroTexto 55">
          <a:extLst>
            <a:ext uri="{FF2B5EF4-FFF2-40B4-BE49-F238E27FC236}">
              <a16:creationId xmlns:a16="http://schemas.microsoft.com/office/drawing/2014/main" id="{3306F3D5-3FCA-404E-A2E8-81CF6EDBB28F}"/>
            </a:ext>
          </a:extLst>
        </xdr:cNvPr>
        <xdr:cNvSpPr txBox="1"/>
      </xdr:nvSpPr>
      <xdr:spPr>
        <a:xfrm>
          <a:off x="3286714" y="18504854"/>
          <a:ext cx="728787" cy="302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[A]</a:t>
          </a:r>
        </a:p>
      </xdr:txBody>
    </xdr:sp>
    <xdr:clientData/>
  </xdr:twoCellAnchor>
  <xdr:twoCellAnchor>
    <xdr:from>
      <xdr:col>1</xdr:col>
      <xdr:colOff>1235675</xdr:colOff>
      <xdr:row>89</xdr:row>
      <xdr:rowOff>76651</xdr:rowOff>
    </xdr:from>
    <xdr:to>
      <xdr:col>7</xdr:col>
      <xdr:colOff>51164</xdr:colOff>
      <xdr:row>91</xdr:row>
      <xdr:rowOff>92215</xdr:rowOff>
    </xdr:to>
    <xdr:sp macro="" textlink="">
      <xdr:nvSpPr>
        <xdr:cNvPr id="57" name="Abrir llave 56">
          <a:extLst>
            <a:ext uri="{FF2B5EF4-FFF2-40B4-BE49-F238E27FC236}">
              <a16:creationId xmlns:a16="http://schemas.microsoft.com/office/drawing/2014/main" id="{F0BC0E53-11CC-4FBB-A6B3-05788D0970F2}"/>
            </a:ext>
          </a:extLst>
        </xdr:cNvPr>
        <xdr:cNvSpPr/>
      </xdr:nvSpPr>
      <xdr:spPr>
        <a:xfrm rot="5400000" flipH="1">
          <a:off x="3431287" y="16300162"/>
          <a:ext cx="386668" cy="4159385"/>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8045</xdr:colOff>
      <xdr:row>88</xdr:row>
      <xdr:rowOff>362271</xdr:rowOff>
    </xdr:from>
    <xdr:to>
      <xdr:col>13</xdr:col>
      <xdr:colOff>130519</xdr:colOff>
      <xdr:row>90</xdr:row>
      <xdr:rowOff>184762</xdr:rowOff>
    </xdr:to>
    <xdr:sp macro="" textlink="">
      <xdr:nvSpPr>
        <xdr:cNvPr id="58" name="Abrir llave 57">
          <a:extLst>
            <a:ext uri="{FF2B5EF4-FFF2-40B4-BE49-F238E27FC236}">
              <a16:creationId xmlns:a16="http://schemas.microsoft.com/office/drawing/2014/main" id="{34A9CF46-C66D-4528-BA2A-1FBA18069A51}"/>
            </a:ext>
          </a:extLst>
        </xdr:cNvPr>
        <xdr:cNvSpPr/>
      </xdr:nvSpPr>
      <xdr:spPr>
        <a:xfrm rot="5400000" flipH="1">
          <a:off x="9862403" y="17784049"/>
          <a:ext cx="391517" cy="1000753"/>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12</xdr:col>
      <xdr:colOff>302354</xdr:colOff>
      <xdr:row>91</xdr:row>
      <xdr:rowOff>7662</xdr:rowOff>
    </xdr:from>
    <xdr:to>
      <xdr:col>12</xdr:col>
      <xdr:colOff>790509</xdr:colOff>
      <xdr:row>92</xdr:row>
      <xdr:rowOff>124151</xdr:rowOff>
    </xdr:to>
    <xdr:sp macro="" textlink="">
      <xdr:nvSpPr>
        <xdr:cNvPr id="59" name="CuadroTexto 58">
          <a:extLst>
            <a:ext uri="{FF2B5EF4-FFF2-40B4-BE49-F238E27FC236}">
              <a16:creationId xmlns:a16="http://schemas.microsoft.com/office/drawing/2014/main" id="{C2214092-3990-4117-94F6-3205A6E8671D}"/>
            </a:ext>
          </a:extLst>
        </xdr:cNvPr>
        <xdr:cNvSpPr txBox="1"/>
      </xdr:nvSpPr>
      <xdr:spPr>
        <a:xfrm>
          <a:off x="9852094" y="18488636"/>
          <a:ext cx="488155" cy="302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[B]</a:t>
          </a:r>
        </a:p>
      </xdr:txBody>
    </xdr:sp>
    <xdr:clientData/>
  </xdr:twoCellAnchor>
  <xdr:twoCellAnchor>
    <xdr:from>
      <xdr:col>13</xdr:col>
      <xdr:colOff>738703</xdr:colOff>
      <xdr:row>88</xdr:row>
      <xdr:rowOff>266892</xdr:rowOff>
    </xdr:from>
    <xdr:to>
      <xdr:col>15</xdr:col>
      <xdr:colOff>128716</xdr:colOff>
      <xdr:row>90</xdr:row>
      <xdr:rowOff>89383</xdr:rowOff>
    </xdr:to>
    <xdr:sp macro="" textlink="">
      <xdr:nvSpPr>
        <xdr:cNvPr id="60" name="Abrir llave 59">
          <a:extLst>
            <a:ext uri="{FF2B5EF4-FFF2-40B4-BE49-F238E27FC236}">
              <a16:creationId xmlns:a16="http://schemas.microsoft.com/office/drawing/2014/main" id="{ABF36A9C-9C6E-4408-AA4B-34CE8081B8C7}"/>
            </a:ext>
          </a:extLst>
        </xdr:cNvPr>
        <xdr:cNvSpPr/>
      </xdr:nvSpPr>
      <xdr:spPr>
        <a:xfrm rot="5400000" flipH="1">
          <a:off x="11476213" y="17683797"/>
          <a:ext cx="391517" cy="1010500"/>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14</xdr:col>
      <xdr:colOff>265863</xdr:colOff>
      <xdr:row>90</xdr:row>
      <xdr:rowOff>118231</xdr:rowOff>
    </xdr:from>
    <xdr:to>
      <xdr:col>14</xdr:col>
      <xdr:colOff>754018</xdr:colOff>
      <xdr:row>92</xdr:row>
      <xdr:rowOff>41645</xdr:rowOff>
    </xdr:to>
    <xdr:sp macro="" textlink="">
      <xdr:nvSpPr>
        <xdr:cNvPr id="61" name="CuadroTexto 60">
          <a:extLst>
            <a:ext uri="{FF2B5EF4-FFF2-40B4-BE49-F238E27FC236}">
              <a16:creationId xmlns:a16="http://schemas.microsoft.com/office/drawing/2014/main" id="{48AA5902-C86E-4D0B-88D6-AB1A4C26E51F}"/>
            </a:ext>
          </a:extLst>
        </xdr:cNvPr>
        <xdr:cNvSpPr txBox="1"/>
      </xdr:nvSpPr>
      <xdr:spPr>
        <a:xfrm>
          <a:off x="11460831" y="18413653"/>
          <a:ext cx="488155" cy="294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[C]</a:t>
          </a:r>
        </a:p>
      </xdr:txBody>
    </xdr:sp>
    <xdr:clientData/>
  </xdr:twoCellAnchor>
  <xdr:twoCellAnchor>
    <xdr:from>
      <xdr:col>16</xdr:col>
      <xdr:colOff>22911</xdr:colOff>
      <xdr:row>88</xdr:row>
      <xdr:rowOff>231689</xdr:rowOff>
    </xdr:from>
    <xdr:to>
      <xdr:col>17</xdr:col>
      <xdr:colOff>90101</xdr:colOff>
      <xdr:row>90</xdr:row>
      <xdr:rowOff>54180</xdr:rowOff>
    </xdr:to>
    <xdr:sp macro="" textlink="">
      <xdr:nvSpPr>
        <xdr:cNvPr id="62" name="Abrir llave 61">
          <a:extLst>
            <a:ext uri="{FF2B5EF4-FFF2-40B4-BE49-F238E27FC236}">
              <a16:creationId xmlns:a16="http://schemas.microsoft.com/office/drawing/2014/main" id="{B77FC3D9-092B-46F6-BDCF-8094CCCBC869}"/>
            </a:ext>
          </a:extLst>
        </xdr:cNvPr>
        <xdr:cNvSpPr/>
      </xdr:nvSpPr>
      <xdr:spPr>
        <a:xfrm rot="5400000" flipH="1">
          <a:off x="13059676" y="17736775"/>
          <a:ext cx="391517" cy="834138"/>
        </a:xfrm>
        <a:prstGeom prst="leftBrace">
          <a:avLst>
            <a:gd name="adj1" fmla="val 8333"/>
            <a:gd name="adj2" fmla="val 49781"/>
          </a:avLst>
        </a:prstGeom>
        <a:ln>
          <a:solidFill>
            <a:srgbClr val="92D05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16</xdr:col>
      <xdr:colOff>239991</xdr:colOff>
      <xdr:row>90</xdr:row>
      <xdr:rowOff>108770</xdr:rowOff>
    </xdr:from>
    <xdr:to>
      <xdr:col>16</xdr:col>
      <xdr:colOff>728146</xdr:colOff>
      <xdr:row>92</xdr:row>
      <xdr:rowOff>32184</xdr:rowOff>
    </xdr:to>
    <xdr:sp macro="" textlink="">
      <xdr:nvSpPr>
        <xdr:cNvPr id="63" name="CuadroTexto 62">
          <a:extLst>
            <a:ext uri="{FF2B5EF4-FFF2-40B4-BE49-F238E27FC236}">
              <a16:creationId xmlns:a16="http://schemas.microsoft.com/office/drawing/2014/main" id="{58E643A0-D8C1-451F-A60A-39AC668DA798}"/>
            </a:ext>
          </a:extLst>
        </xdr:cNvPr>
        <xdr:cNvSpPr txBox="1"/>
      </xdr:nvSpPr>
      <xdr:spPr>
        <a:xfrm>
          <a:off x="13055446" y="18404192"/>
          <a:ext cx="488155" cy="294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800">
              <a:solidFill>
                <a:srgbClr val="0070C0"/>
              </a:solidFill>
              <a:latin typeface="Calibri" panose="020F0502020204030204" pitchFamily="34" charset="0"/>
              <a:cs typeface="Calibri" panose="020F0502020204030204" pitchFamily="34" charset="0"/>
            </a:rPr>
            <a:t>[D]</a:t>
          </a:r>
        </a:p>
      </xdr:txBody>
    </xdr:sp>
    <xdr:clientData/>
  </xdr:twoCellAnchor>
  <xdr:twoCellAnchor>
    <xdr:from>
      <xdr:col>1</xdr:col>
      <xdr:colOff>391583</xdr:colOff>
      <xdr:row>96</xdr:row>
      <xdr:rowOff>31750</xdr:rowOff>
    </xdr:from>
    <xdr:to>
      <xdr:col>1</xdr:col>
      <xdr:colOff>1164166</xdr:colOff>
      <xdr:row>98</xdr:row>
      <xdr:rowOff>105304</xdr:rowOff>
    </xdr:to>
    <xdr:sp macro="" textlink="">
      <xdr:nvSpPr>
        <xdr:cNvPr id="64" name="Flecha: a la derecha 63">
          <a:extLst>
            <a:ext uri="{FF2B5EF4-FFF2-40B4-BE49-F238E27FC236}">
              <a16:creationId xmlns:a16="http://schemas.microsoft.com/office/drawing/2014/main" id="{2644DBB1-5127-4576-B50D-2788DD905A30}"/>
            </a:ext>
          </a:extLst>
        </xdr:cNvPr>
        <xdr:cNvSpPr/>
      </xdr:nvSpPr>
      <xdr:spPr>
        <a:xfrm>
          <a:off x="700836" y="19440484"/>
          <a:ext cx="772583" cy="45702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740834</xdr:colOff>
      <xdr:row>92</xdr:row>
      <xdr:rowOff>42334</xdr:rowOff>
    </xdr:from>
    <xdr:to>
      <xdr:col>10</xdr:col>
      <xdr:colOff>148168</xdr:colOff>
      <xdr:row>98</xdr:row>
      <xdr:rowOff>10583</xdr:rowOff>
    </xdr:to>
    <xdr:sp macro="" textlink="">
      <xdr:nvSpPr>
        <xdr:cNvPr id="65" name="CuadroTexto 64">
          <a:extLst>
            <a:ext uri="{FF2B5EF4-FFF2-40B4-BE49-F238E27FC236}">
              <a16:creationId xmlns:a16="http://schemas.microsoft.com/office/drawing/2014/main" id="{F995452F-D28C-40BD-9BD3-BC4B08AF62BA}"/>
            </a:ext>
          </a:extLst>
        </xdr:cNvPr>
        <xdr:cNvSpPr txBox="1"/>
      </xdr:nvSpPr>
      <xdr:spPr>
        <a:xfrm>
          <a:off x="7160931" y="18708860"/>
          <a:ext cx="941231" cy="1093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latin typeface="Calibri" panose="020F0502020204030204" pitchFamily="34" charset="0"/>
              <a:cs typeface="Calibri" panose="020F0502020204030204" pitchFamily="34" charset="0"/>
            </a:rPr>
            <a:t>La</a:t>
          </a:r>
          <a:r>
            <a:rPr lang="es-CO" sz="1100" b="1" baseline="0">
              <a:latin typeface="Calibri" panose="020F0502020204030204" pitchFamily="34" charset="0"/>
              <a:cs typeface="Calibri" panose="020F0502020204030204" pitchFamily="34" charset="0"/>
            </a:rPr>
            <a:t> matriz de Alternativas de Desición Desempeño ambiental </a:t>
          </a:r>
          <a:br>
            <a:rPr lang="es-CO" sz="1100" b="1" baseline="0">
              <a:latin typeface="Calibri" panose="020F0502020204030204" pitchFamily="34" charset="0"/>
              <a:cs typeface="Calibri" panose="020F0502020204030204" pitchFamily="34" charset="0"/>
            </a:rPr>
          </a:br>
          <a:r>
            <a:rPr lang="es-CO" sz="1100" b="1" baseline="0">
              <a:latin typeface="Calibri" panose="020F0502020204030204" pitchFamily="34" charset="0"/>
              <a:cs typeface="Calibri" panose="020F0502020204030204" pitchFamily="34" charset="0"/>
            </a:rPr>
            <a:t>es:</a:t>
          </a:r>
          <a:endParaRPr lang="es-CO" sz="1100" b="1">
            <a:latin typeface="Calibri" panose="020F0502020204030204" pitchFamily="34" charset="0"/>
            <a:cs typeface="Calibri" panose="020F0502020204030204" pitchFamily="34" charset="0"/>
          </a:endParaRPr>
        </a:p>
      </xdr:txBody>
    </xdr:sp>
    <xdr:clientData/>
  </xdr:twoCellAnchor>
  <xdr:twoCellAnchor>
    <xdr:from>
      <xdr:col>7</xdr:col>
      <xdr:colOff>110597</xdr:colOff>
      <xdr:row>96</xdr:row>
      <xdr:rowOff>188913</xdr:rowOff>
    </xdr:from>
    <xdr:to>
      <xdr:col>7</xdr:col>
      <xdr:colOff>670192</xdr:colOff>
      <xdr:row>98</xdr:row>
      <xdr:rowOff>109273</xdr:rowOff>
    </xdr:to>
    <xdr:sp macro="" textlink="">
      <xdr:nvSpPr>
        <xdr:cNvPr id="66" name="Es igual a 65">
          <a:extLst>
            <a:ext uri="{FF2B5EF4-FFF2-40B4-BE49-F238E27FC236}">
              <a16:creationId xmlns:a16="http://schemas.microsoft.com/office/drawing/2014/main" id="{E690882A-D26C-4A03-B8E7-C0245457AB56}"/>
            </a:ext>
          </a:extLst>
        </xdr:cNvPr>
        <xdr:cNvSpPr/>
      </xdr:nvSpPr>
      <xdr:spPr>
        <a:xfrm>
          <a:off x="5763746" y="19597647"/>
          <a:ext cx="559595" cy="303834"/>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120122</xdr:colOff>
      <xdr:row>94</xdr:row>
      <xdr:rowOff>127000</xdr:rowOff>
    </xdr:from>
    <xdr:to>
      <xdr:col>7</xdr:col>
      <xdr:colOff>679717</xdr:colOff>
      <xdr:row>96</xdr:row>
      <xdr:rowOff>57943</xdr:rowOff>
    </xdr:to>
    <xdr:sp macro="" textlink="">
      <xdr:nvSpPr>
        <xdr:cNvPr id="67" name="Es igual a 66">
          <a:extLst>
            <a:ext uri="{FF2B5EF4-FFF2-40B4-BE49-F238E27FC236}">
              <a16:creationId xmlns:a16="http://schemas.microsoft.com/office/drawing/2014/main" id="{97912733-7205-4F94-A810-B4EFA102D547}"/>
            </a:ext>
          </a:extLst>
        </xdr:cNvPr>
        <xdr:cNvSpPr/>
      </xdr:nvSpPr>
      <xdr:spPr>
        <a:xfrm>
          <a:off x="5773271" y="19164630"/>
          <a:ext cx="559595" cy="302047"/>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105834</xdr:colOff>
      <xdr:row>98</xdr:row>
      <xdr:rowOff>161661</xdr:rowOff>
    </xdr:from>
    <xdr:to>
      <xdr:col>7</xdr:col>
      <xdr:colOff>665429</xdr:colOff>
      <xdr:row>100</xdr:row>
      <xdr:rowOff>80698</xdr:rowOff>
    </xdr:to>
    <xdr:sp macro="" textlink="">
      <xdr:nvSpPr>
        <xdr:cNvPr id="68" name="Es igual a 67">
          <a:extLst>
            <a:ext uri="{FF2B5EF4-FFF2-40B4-BE49-F238E27FC236}">
              <a16:creationId xmlns:a16="http://schemas.microsoft.com/office/drawing/2014/main" id="{BD5501FA-0E3C-4F5A-8513-4A6A8997682C}"/>
            </a:ext>
          </a:extLst>
        </xdr:cNvPr>
        <xdr:cNvSpPr/>
      </xdr:nvSpPr>
      <xdr:spPr>
        <a:xfrm>
          <a:off x="5758983" y="19953869"/>
          <a:ext cx="559595" cy="290141"/>
        </a:xfrm>
        <a:prstGeom prst="mathEqua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305403</xdr:colOff>
      <xdr:row>97</xdr:row>
      <xdr:rowOff>111003</xdr:rowOff>
    </xdr:from>
    <xdr:to>
      <xdr:col>9</xdr:col>
      <xdr:colOff>566287</xdr:colOff>
      <xdr:row>98</xdr:row>
      <xdr:rowOff>180170</xdr:rowOff>
    </xdr:to>
    <xdr:sp macro="" textlink="">
      <xdr:nvSpPr>
        <xdr:cNvPr id="69" name="Flecha: a la derecha 68">
          <a:extLst>
            <a:ext uri="{FF2B5EF4-FFF2-40B4-BE49-F238E27FC236}">
              <a16:creationId xmlns:a16="http://schemas.microsoft.com/office/drawing/2014/main" id="{B4C631F9-B562-4E4A-89FF-60494410AE90}"/>
            </a:ext>
          </a:extLst>
        </xdr:cNvPr>
        <xdr:cNvSpPr/>
      </xdr:nvSpPr>
      <xdr:spPr>
        <a:xfrm rot="5400000">
          <a:off x="7489345" y="19708392"/>
          <a:ext cx="267089" cy="260884"/>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27662</xdr:colOff>
      <xdr:row>0</xdr:row>
      <xdr:rowOff>0</xdr:rowOff>
    </xdr:from>
    <xdr:to>
      <xdr:col>18</xdr:col>
      <xdr:colOff>0</xdr:colOff>
      <xdr:row>2</xdr:row>
      <xdr:rowOff>141962</xdr:rowOff>
    </xdr:to>
    <xdr:sp macro="" textlink="">
      <xdr:nvSpPr>
        <xdr:cNvPr id="70" name="Rectángulo 69">
          <a:hlinkClick xmlns:r="http://schemas.openxmlformats.org/officeDocument/2006/relationships" r:id="rId1"/>
          <a:extLst>
            <a:ext uri="{FF2B5EF4-FFF2-40B4-BE49-F238E27FC236}">
              <a16:creationId xmlns:a16="http://schemas.microsoft.com/office/drawing/2014/main" id="{35C65A4F-C446-4542-A5EB-24AE353FFB55}"/>
            </a:ext>
          </a:extLst>
        </xdr:cNvPr>
        <xdr:cNvSpPr/>
      </xdr:nvSpPr>
      <xdr:spPr>
        <a:xfrm>
          <a:off x="12736361" y="0"/>
          <a:ext cx="1485899" cy="5334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latin typeface="Calibri" panose="020F0502020204030204" pitchFamily="34" charset="0"/>
              <a:cs typeface="Calibri" panose="020F0502020204030204" pitchFamily="34" charset="0"/>
            </a:rPr>
            <a:t>Inicio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E0AF1-70C7-48AA-8020-56D45CF77CFA}">
  <dimension ref="A1:Q64"/>
  <sheetViews>
    <sheetView topLeftCell="A6" zoomScale="70" zoomScaleNormal="70" workbookViewId="0">
      <selection activeCell="B3" sqref="B3:O9"/>
    </sheetView>
  </sheetViews>
  <sheetFormatPr baseColWidth="10" defaultColWidth="0" defaultRowHeight="15" customHeight="1" zeroHeight="1" x14ac:dyDescent="0.25"/>
  <cols>
    <col min="1" max="1" width="7.140625" style="1" customWidth="1"/>
    <col min="2" max="2" width="3.28515625" style="1" customWidth="1"/>
    <col min="3" max="16" width="12.5703125" style="1" customWidth="1"/>
    <col min="17" max="17" width="4.5703125" style="1" customWidth="1"/>
    <col min="18" max="16384" width="11.42578125" style="1" hidden="1"/>
  </cols>
  <sheetData>
    <row r="1" spans="2:16" ht="15.75" thickBot="1" x14ac:dyDescent="0.3"/>
    <row r="2" spans="2:16" ht="38.25" customHeight="1" thickBot="1" x14ac:dyDescent="0.3">
      <c r="B2" s="170" t="s">
        <v>0</v>
      </c>
      <c r="C2" s="171"/>
      <c r="D2" s="171"/>
      <c r="E2" s="171"/>
      <c r="F2" s="171"/>
      <c r="G2" s="171"/>
      <c r="H2" s="171"/>
      <c r="I2" s="171"/>
      <c r="J2" s="171"/>
      <c r="K2" s="171"/>
      <c r="L2" s="171"/>
      <c r="M2" s="171"/>
      <c r="N2" s="171"/>
      <c r="O2" s="172"/>
      <c r="P2" s="23"/>
    </row>
    <row r="3" spans="2:16" ht="42.75" customHeight="1" x14ac:dyDescent="0.25">
      <c r="B3" s="173" t="s">
        <v>236</v>
      </c>
      <c r="C3" s="174"/>
      <c r="D3" s="174"/>
      <c r="E3" s="174"/>
      <c r="F3" s="174"/>
      <c r="G3" s="174"/>
      <c r="H3" s="174"/>
      <c r="I3" s="174"/>
      <c r="J3" s="174"/>
      <c r="K3" s="174"/>
      <c r="L3" s="174"/>
      <c r="M3" s="174"/>
      <c r="N3" s="174"/>
      <c r="O3" s="175"/>
      <c r="P3" s="104"/>
    </row>
    <row r="4" spans="2:16" ht="42.75" customHeight="1" x14ac:dyDescent="0.25">
      <c r="B4" s="176"/>
      <c r="C4" s="177"/>
      <c r="D4" s="177"/>
      <c r="E4" s="177"/>
      <c r="F4" s="177"/>
      <c r="G4" s="177"/>
      <c r="H4" s="177"/>
      <c r="I4" s="177"/>
      <c r="J4" s="177"/>
      <c r="K4" s="177"/>
      <c r="L4" s="177"/>
      <c r="M4" s="177"/>
      <c r="N4" s="177"/>
      <c r="O4" s="178"/>
      <c r="P4" s="104"/>
    </row>
    <row r="5" spans="2:16" ht="42.75" customHeight="1" x14ac:dyDescent="0.25">
      <c r="B5" s="176"/>
      <c r="C5" s="177"/>
      <c r="D5" s="177"/>
      <c r="E5" s="177"/>
      <c r="F5" s="177"/>
      <c r="G5" s="177"/>
      <c r="H5" s="177"/>
      <c r="I5" s="177"/>
      <c r="J5" s="177"/>
      <c r="K5" s="177"/>
      <c r="L5" s="177"/>
      <c r="M5" s="177"/>
      <c r="N5" s="177"/>
      <c r="O5" s="178"/>
      <c r="P5" s="104"/>
    </row>
    <row r="6" spans="2:16" ht="42.75" customHeight="1" x14ac:dyDescent="0.25">
      <c r="B6" s="176"/>
      <c r="C6" s="177"/>
      <c r="D6" s="177"/>
      <c r="E6" s="177"/>
      <c r="F6" s="177"/>
      <c r="G6" s="177"/>
      <c r="H6" s="177"/>
      <c r="I6" s="177"/>
      <c r="J6" s="177"/>
      <c r="K6" s="177"/>
      <c r="L6" s="177"/>
      <c r="M6" s="177"/>
      <c r="N6" s="177"/>
      <c r="O6" s="178"/>
      <c r="P6" s="104"/>
    </row>
    <row r="7" spans="2:16" ht="42.75" customHeight="1" x14ac:dyDescent="0.25">
      <c r="B7" s="176"/>
      <c r="C7" s="177"/>
      <c r="D7" s="177"/>
      <c r="E7" s="177"/>
      <c r="F7" s="177"/>
      <c r="G7" s="177"/>
      <c r="H7" s="177"/>
      <c r="I7" s="177"/>
      <c r="J7" s="177"/>
      <c r="K7" s="177"/>
      <c r="L7" s="177"/>
      <c r="M7" s="177"/>
      <c r="N7" s="177"/>
      <c r="O7" s="178"/>
      <c r="P7" s="104"/>
    </row>
    <row r="8" spans="2:16" ht="42.75" customHeight="1" x14ac:dyDescent="0.25">
      <c r="B8" s="176"/>
      <c r="C8" s="177"/>
      <c r="D8" s="177"/>
      <c r="E8" s="177"/>
      <c r="F8" s="177"/>
      <c r="G8" s="177"/>
      <c r="H8" s="177"/>
      <c r="I8" s="177"/>
      <c r="J8" s="177"/>
      <c r="K8" s="177"/>
      <c r="L8" s="177"/>
      <c r="M8" s="177"/>
      <c r="N8" s="177"/>
      <c r="O8" s="178"/>
      <c r="P8" s="104"/>
    </row>
    <row r="9" spans="2:16" ht="5.25" customHeight="1" thickBot="1" x14ac:dyDescent="0.3">
      <c r="B9" s="179"/>
      <c r="C9" s="180"/>
      <c r="D9" s="180"/>
      <c r="E9" s="180"/>
      <c r="F9" s="180"/>
      <c r="G9" s="180"/>
      <c r="H9" s="180"/>
      <c r="I9" s="180"/>
      <c r="J9" s="180"/>
      <c r="K9" s="180"/>
      <c r="L9" s="180"/>
      <c r="M9" s="180"/>
      <c r="N9" s="180"/>
      <c r="O9" s="181"/>
      <c r="P9" s="104"/>
    </row>
    <row r="10" spans="2:16" x14ac:dyDescent="0.25"/>
    <row r="11" spans="2:16" x14ac:dyDescent="0.25">
      <c r="B11" s="1" t="s">
        <v>237</v>
      </c>
    </row>
    <row r="12" spans="2:16" x14ac:dyDescent="0.25"/>
    <row r="13" spans="2:16" x14ac:dyDescent="0.25"/>
    <row r="14" spans="2:16" x14ac:dyDescent="0.25"/>
    <row r="15" spans="2:16" x14ac:dyDescent="0.25"/>
    <row r="16" spans="2: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1:17" x14ac:dyDescent="0.25"/>
    <row r="34" spans="1:17" x14ac:dyDescent="0.25"/>
    <row r="35" spans="1:17" x14ac:dyDescent="0.25"/>
    <row r="36" spans="1:17" x14ac:dyDescent="0.25"/>
    <row r="37" spans="1:17" x14ac:dyDescent="0.25"/>
    <row r="38" spans="1:17" x14ac:dyDescent="0.25"/>
    <row r="39" spans="1:17" x14ac:dyDescent="0.25"/>
    <row r="40" spans="1:17" x14ac:dyDescent="0.25"/>
    <row r="41" spans="1:17" x14ac:dyDescent="0.25">
      <c r="A41" s="2" t="s">
        <v>230</v>
      </c>
      <c r="B41" s="1" t="s">
        <v>229</v>
      </c>
    </row>
    <row r="42" spans="1:17" ht="15.75" thickBot="1" x14ac:dyDescent="0.3"/>
    <row r="43" spans="1:17" ht="21.75" thickBot="1" x14ac:dyDescent="0.3">
      <c r="C43" s="170" t="s">
        <v>225</v>
      </c>
      <c r="D43" s="182"/>
      <c r="E43" s="182"/>
      <c r="F43" s="182"/>
      <c r="G43" s="182"/>
      <c r="H43" s="182"/>
      <c r="I43" s="182"/>
      <c r="J43" s="182"/>
      <c r="K43" s="182"/>
      <c r="L43" s="182"/>
      <c r="M43" s="182"/>
      <c r="N43" s="182"/>
      <c r="O43" s="182"/>
      <c r="P43" s="183"/>
      <c r="Q43" s="124"/>
    </row>
    <row r="44" spans="1:17" ht="31.5" customHeight="1" thickBot="1" x14ac:dyDescent="0.3">
      <c r="C44" s="167" t="s">
        <v>226</v>
      </c>
      <c r="D44" s="168"/>
      <c r="E44" s="168"/>
      <c r="F44" s="168"/>
      <c r="G44" s="168"/>
      <c r="H44" s="168"/>
      <c r="I44" s="168"/>
      <c r="J44" s="168"/>
      <c r="K44" s="168"/>
      <c r="L44" s="168"/>
      <c r="M44" s="168"/>
      <c r="N44" s="168"/>
      <c r="O44" s="168"/>
      <c r="P44" s="169"/>
    </row>
    <row r="45" spans="1:17" ht="15.75" thickBot="1" x14ac:dyDescent="0.3">
      <c r="C45" s="167" t="s">
        <v>231</v>
      </c>
      <c r="D45" s="168"/>
      <c r="E45" s="168"/>
      <c r="F45" s="168"/>
      <c r="G45" s="168"/>
      <c r="H45" s="168"/>
      <c r="I45" s="168"/>
      <c r="J45" s="168"/>
      <c r="K45" s="168"/>
      <c r="L45" s="168"/>
      <c r="M45" s="168"/>
      <c r="N45" s="168"/>
      <c r="O45" s="168"/>
      <c r="P45" s="169"/>
    </row>
    <row r="46" spans="1:17" ht="30.75" customHeight="1" thickBot="1" x14ac:dyDescent="0.3">
      <c r="C46" s="167" t="s">
        <v>246</v>
      </c>
      <c r="D46" s="168"/>
      <c r="E46" s="168"/>
      <c r="F46" s="168"/>
      <c r="G46" s="168"/>
      <c r="H46" s="168"/>
      <c r="I46" s="168"/>
      <c r="J46" s="168"/>
      <c r="K46" s="168"/>
      <c r="L46" s="168"/>
      <c r="M46" s="168"/>
      <c r="N46" s="168"/>
      <c r="O46" s="168"/>
      <c r="P46" s="169"/>
    </row>
    <row r="47" spans="1:17" x14ac:dyDescent="0.25"/>
    <row r="48" spans="1: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sheetData>
  <sheetProtection algorithmName="SHA-512" hashValue="hjdz+le0sJLWuukgqruTIwJSqzHO2k1dLCc2mC1kIrJ1TH+uB6eVGHnBgaYm2vMbwzRD1Zv9jBgOyGZZPU4zvQ==" saltValue="Qc6p/zxtXuRenRscuiDiXg==" spinCount="100000" sheet="1" objects="1" scenarios="1"/>
  <mergeCells count="6">
    <mergeCell ref="C46:P46"/>
    <mergeCell ref="B2:O2"/>
    <mergeCell ref="B3:O9"/>
    <mergeCell ref="C43:P43"/>
    <mergeCell ref="C44:P44"/>
    <mergeCell ref="C45:P45"/>
  </mergeCells>
  <pageMargins left="0.7" right="0.7" top="0.75" bottom="0.75" header="0.3" footer="0.3"/>
  <pageSetup scale="4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F1734-C893-47CA-8FFA-C8C9449B171A}">
  <dimension ref="A1:AD102"/>
  <sheetViews>
    <sheetView topLeftCell="A61" zoomScale="88" zoomScaleNormal="90" workbookViewId="0">
      <selection activeCell="Q62" sqref="Q62"/>
    </sheetView>
  </sheetViews>
  <sheetFormatPr baseColWidth="10" defaultColWidth="0" defaultRowHeight="15" zeroHeight="1" x14ac:dyDescent="0.25"/>
  <cols>
    <col min="1" max="1" width="4.5703125" style="24" customWidth="1"/>
    <col min="2" max="2" width="18.85546875" style="24" customWidth="1"/>
    <col min="3" max="4" width="11.42578125" style="24" customWidth="1"/>
    <col min="5" max="6" width="13.28515625" style="24" customWidth="1"/>
    <col min="7" max="10" width="11.42578125" style="24" customWidth="1"/>
    <col min="11" max="11" width="12.42578125" style="24" customWidth="1"/>
    <col min="12" max="12" width="11.42578125" style="24" customWidth="1"/>
    <col min="13" max="13" width="13.140625" style="24" customWidth="1"/>
    <col min="14" max="14" width="11.42578125" style="24" customWidth="1"/>
    <col min="15" max="15" width="12.85546875" style="24" customWidth="1"/>
    <col min="16" max="18" width="11.42578125" style="24" customWidth="1"/>
    <col min="19" max="19" width="11.42578125" style="24" hidden="1" customWidth="1"/>
    <col min="20" max="20" width="12.7109375" style="24" hidden="1" customWidth="1"/>
    <col min="21" max="28" width="11.42578125" style="24" hidden="1" customWidth="1"/>
    <col min="29" max="29" width="12.140625" style="24" hidden="1" customWidth="1"/>
    <col min="30" max="30" width="13.5703125" style="24" hidden="1" customWidth="1"/>
    <col min="31" max="16384" width="11.42578125" style="24" hidden="1"/>
  </cols>
  <sheetData>
    <row r="1" spans="3:19" x14ac:dyDescent="0.25"/>
    <row r="2" spans="3:19" ht="15.75" thickBot="1" x14ac:dyDescent="0.3"/>
    <row r="3" spans="3:19" ht="33.75" customHeight="1" thickBot="1" x14ac:dyDescent="0.3">
      <c r="C3" s="170" t="s">
        <v>224</v>
      </c>
      <c r="D3" s="198"/>
      <c r="E3" s="198"/>
      <c r="F3" s="198"/>
      <c r="G3" s="198"/>
      <c r="H3" s="198"/>
      <c r="I3" s="198"/>
      <c r="J3" s="198"/>
      <c r="K3" s="198"/>
      <c r="L3" s="198"/>
      <c r="M3" s="198"/>
      <c r="N3" s="198"/>
      <c r="O3" s="198"/>
      <c r="P3" s="199"/>
    </row>
    <row r="4" spans="3:19" x14ac:dyDescent="0.25">
      <c r="C4" s="187" t="s">
        <v>212</v>
      </c>
      <c r="D4" s="200"/>
      <c r="E4" s="200"/>
      <c r="F4" s="200"/>
      <c r="G4" s="200"/>
      <c r="H4" s="200"/>
      <c r="I4" s="200"/>
      <c r="J4" s="200"/>
      <c r="K4" s="200"/>
      <c r="L4" s="200"/>
      <c r="M4" s="200"/>
      <c r="N4" s="200"/>
      <c r="O4" s="200"/>
      <c r="P4" s="201"/>
    </row>
    <row r="5" spans="3:19" x14ac:dyDescent="0.25">
      <c r="C5" s="202"/>
      <c r="D5" s="203"/>
      <c r="E5" s="203"/>
      <c r="F5" s="203"/>
      <c r="G5" s="203"/>
      <c r="H5" s="203"/>
      <c r="I5" s="203"/>
      <c r="J5" s="203"/>
      <c r="K5" s="203"/>
      <c r="L5" s="203"/>
      <c r="M5" s="203"/>
      <c r="N5" s="203"/>
      <c r="O5" s="203"/>
      <c r="P5" s="204"/>
    </row>
    <row r="6" spans="3:19" x14ac:dyDescent="0.25">
      <c r="C6" s="202"/>
      <c r="D6" s="203"/>
      <c r="E6" s="203"/>
      <c r="F6" s="203"/>
      <c r="G6" s="203"/>
      <c r="H6" s="203"/>
      <c r="I6" s="203"/>
      <c r="J6" s="203"/>
      <c r="K6" s="203"/>
      <c r="L6" s="203"/>
      <c r="M6" s="203"/>
      <c r="N6" s="203"/>
      <c r="O6" s="203"/>
      <c r="P6" s="204"/>
    </row>
    <row r="7" spans="3:19" x14ac:dyDescent="0.25">
      <c r="C7" s="202"/>
      <c r="D7" s="203"/>
      <c r="E7" s="203"/>
      <c r="F7" s="203"/>
      <c r="G7" s="203"/>
      <c r="H7" s="203"/>
      <c r="I7" s="203"/>
      <c r="J7" s="203"/>
      <c r="K7" s="203"/>
      <c r="L7" s="203"/>
      <c r="M7" s="203"/>
      <c r="N7" s="203"/>
      <c r="O7" s="203"/>
      <c r="P7" s="204"/>
    </row>
    <row r="8" spans="3:19" x14ac:dyDescent="0.25">
      <c r="C8" s="202"/>
      <c r="D8" s="203"/>
      <c r="E8" s="203"/>
      <c r="F8" s="203"/>
      <c r="G8" s="203"/>
      <c r="H8" s="203"/>
      <c r="I8" s="203"/>
      <c r="J8" s="203"/>
      <c r="K8" s="203"/>
      <c r="L8" s="203"/>
      <c r="M8" s="203"/>
      <c r="N8" s="203"/>
      <c r="O8" s="203"/>
      <c r="P8" s="204"/>
    </row>
    <row r="9" spans="3:19" x14ac:dyDescent="0.25">
      <c r="C9" s="202"/>
      <c r="D9" s="203"/>
      <c r="E9" s="203"/>
      <c r="F9" s="203"/>
      <c r="G9" s="203"/>
      <c r="H9" s="203"/>
      <c r="I9" s="203"/>
      <c r="J9" s="203"/>
      <c r="K9" s="203"/>
      <c r="L9" s="203"/>
      <c r="M9" s="203"/>
      <c r="N9" s="203"/>
      <c r="O9" s="203"/>
      <c r="P9" s="204"/>
    </row>
    <row r="10" spans="3:19" ht="15.75" thickBot="1" x14ac:dyDescent="0.3">
      <c r="C10" s="205"/>
      <c r="D10" s="206"/>
      <c r="E10" s="206"/>
      <c r="F10" s="206"/>
      <c r="G10" s="206"/>
      <c r="H10" s="206"/>
      <c r="I10" s="206"/>
      <c r="J10" s="206"/>
      <c r="K10" s="206"/>
      <c r="L10" s="206"/>
      <c r="M10" s="206"/>
      <c r="N10" s="206"/>
      <c r="O10" s="206"/>
      <c r="P10" s="207"/>
    </row>
    <row r="11" spans="3:19" x14ac:dyDescent="0.25"/>
    <row r="12" spans="3:19" x14ac:dyDescent="0.25">
      <c r="C12" s="24" t="s">
        <v>217</v>
      </c>
    </row>
    <row r="13" spans="3:19" ht="28.5" customHeight="1" x14ac:dyDescent="0.25">
      <c r="C13" s="216" t="s">
        <v>218</v>
      </c>
      <c r="D13" s="216"/>
      <c r="E13" s="216"/>
      <c r="F13" s="216"/>
      <c r="G13" s="216"/>
      <c r="H13" s="216"/>
      <c r="I13" s="216"/>
      <c r="J13" s="216"/>
      <c r="K13" s="216"/>
      <c r="L13" s="216"/>
      <c r="M13" s="216"/>
      <c r="N13" s="216"/>
      <c r="O13" s="216"/>
      <c r="P13" s="216"/>
    </row>
    <row r="14" spans="3:19" ht="24" customHeight="1" x14ac:dyDescent="0.25">
      <c r="S14" s="113"/>
    </row>
    <row r="15" spans="3:19" x14ac:dyDescent="0.25">
      <c r="C15" s="3"/>
    </row>
    <row r="16" spans="3:19" ht="15.75" thickBot="1" x14ac:dyDescent="0.3">
      <c r="C16" s="3" t="s">
        <v>206</v>
      </c>
      <c r="D16" s="3" t="s">
        <v>207</v>
      </c>
      <c r="E16" s="3" t="s">
        <v>208</v>
      </c>
      <c r="F16" s="3" t="s">
        <v>209</v>
      </c>
      <c r="G16" s="3" t="s">
        <v>210</v>
      </c>
    </row>
    <row r="17" spans="1:17" ht="47.25" customHeight="1" thickBot="1" x14ac:dyDescent="0.3">
      <c r="B17" s="107" t="s">
        <v>213</v>
      </c>
      <c r="C17" s="105" t="s">
        <v>171</v>
      </c>
      <c r="D17" s="105" t="s">
        <v>205</v>
      </c>
      <c r="E17" s="105" t="s">
        <v>177</v>
      </c>
      <c r="F17" s="105" t="s">
        <v>182</v>
      </c>
      <c r="G17" s="105" t="s">
        <v>183</v>
      </c>
      <c r="H17" s="215" t="s">
        <v>97</v>
      </c>
      <c r="I17" s="215"/>
      <c r="J17" s="215"/>
      <c r="K17" s="215"/>
      <c r="L17" s="215"/>
      <c r="M17" s="53" t="s">
        <v>99</v>
      </c>
      <c r="N17" s="82"/>
      <c r="O17" s="53" t="s">
        <v>132</v>
      </c>
      <c r="P17" s="30"/>
      <c r="Q17" s="53" t="s">
        <v>133</v>
      </c>
    </row>
    <row r="18" spans="1:17" ht="30" x14ac:dyDescent="0.25">
      <c r="A18" s="3" t="s">
        <v>206</v>
      </c>
      <c r="B18" s="105" t="s">
        <v>171</v>
      </c>
      <c r="C18" s="49">
        <v>1</v>
      </c>
      <c r="D18" s="43">
        <v>3</v>
      </c>
      <c r="E18" s="43">
        <v>4</v>
      </c>
      <c r="F18" s="43">
        <v>2</v>
      </c>
      <c r="G18" s="43">
        <v>3</v>
      </c>
      <c r="H18" s="58">
        <f>C18/C$23</f>
        <v>0.41379310344827591</v>
      </c>
      <c r="I18" s="58">
        <f t="shared" ref="I18:L22" si="0">D18/D$23</f>
        <v>0.42857142857142855</v>
      </c>
      <c r="J18" s="58">
        <f t="shared" si="0"/>
        <v>0.33333333333333331</v>
      </c>
      <c r="K18" s="58">
        <f t="shared" si="0"/>
        <v>0.48</v>
      </c>
      <c r="L18" s="58">
        <f t="shared" si="0"/>
        <v>0.3</v>
      </c>
      <c r="M18" s="130">
        <f>AVERAGE(H18:L18)</f>
        <v>0.39113957307060754</v>
      </c>
      <c r="N18" s="106"/>
      <c r="O18" s="131" cm="1">
        <f t="array" ref="O18:O22">MMULT(C18:G22,M18:M22)</f>
        <v>2.0488407224958944</v>
      </c>
      <c r="Q18" s="131">
        <f>O18/M18</f>
        <v>5.2381320212926727</v>
      </c>
    </row>
    <row r="19" spans="1:17" ht="45" x14ac:dyDescent="0.25">
      <c r="A19" s="3" t="s">
        <v>207</v>
      </c>
      <c r="B19" s="105" t="s">
        <v>205</v>
      </c>
      <c r="C19" s="43">
        <f>1/D18</f>
        <v>0.33333333333333331</v>
      </c>
      <c r="D19" s="49">
        <v>1</v>
      </c>
      <c r="E19" s="43">
        <v>2</v>
      </c>
      <c r="F19" s="43">
        <f>1/D21</f>
        <v>0.5</v>
      </c>
      <c r="G19" s="43">
        <v>2</v>
      </c>
      <c r="H19" s="58">
        <f t="shared" ref="H19:H22" si="1">C19/C$23</f>
        <v>0.13793103448275862</v>
      </c>
      <c r="I19" s="58">
        <f t="shared" si="0"/>
        <v>0.14285714285714285</v>
      </c>
      <c r="J19" s="58">
        <f t="shared" si="0"/>
        <v>0.16666666666666666</v>
      </c>
      <c r="K19" s="58">
        <f t="shared" si="0"/>
        <v>0.12</v>
      </c>
      <c r="L19" s="58">
        <f t="shared" si="0"/>
        <v>0.2</v>
      </c>
      <c r="M19" s="130">
        <f t="shared" ref="M19:M22" si="2">AVERAGE(H19:L19)</f>
        <v>0.1534909688013136</v>
      </c>
      <c r="N19" s="106"/>
      <c r="O19" s="131">
        <v>0.8098264915161465</v>
      </c>
      <c r="Q19" s="131">
        <f t="shared" ref="Q19:Q22" si="3">O19/M19</f>
        <v>5.2760530332206477</v>
      </c>
    </row>
    <row r="20" spans="1:17" ht="45" x14ac:dyDescent="0.25">
      <c r="A20" s="3" t="s">
        <v>208</v>
      </c>
      <c r="B20" s="105" t="s">
        <v>177</v>
      </c>
      <c r="C20" s="43">
        <f>1/E18</f>
        <v>0.25</v>
      </c>
      <c r="D20" s="43">
        <f>1/E19</f>
        <v>0.5</v>
      </c>
      <c r="E20" s="49">
        <v>1</v>
      </c>
      <c r="F20" s="43">
        <f>1/E21</f>
        <v>0.33333333333333331</v>
      </c>
      <c r="G20" s="43">
        <v>1</v>
      </c>
      <c r="H20" s="58">
        <f t="shared" si="1"/>
        <v>0.10344827586206898</v>
      </c>
      <c r="I20" s="58">
        <f t="shared" si="0"/>
        <v>7.1428571428571425E-2</v>
      </c>
      <c r="J20" s="58">
        <f t="shared" si="0"/>
        <v>8.3333333333333329E-2</v>
      </c>
      <c r="K20" s="58">
        <f t="shared" si="0"/>
        <v>7.9999999999999988E-2</v>
      </c>
      <c r="L20" s="58">
        <f t="shared" si="0"/>
        <v>0.1</v>
      </c>
      <c r="M20" s="130">
        <f t="shared" si="2"/>
        <v>8.7642036124794737E-2</v>
      </c>
      <c r="N20" s="106"/>
      <c r="O20" s="131">
        <v>0.45888505747126429</v>
      </c>
      <c r="Q20" s="131">
        <f t="shared" si="3"/>
        <v>5.2359013752014087</v>
      </c>
    </row>
    <row r="21" spans="1:17" ht="45" x14ac:dyDescent="0.25">
      <c r="A21" s="3" t="s">
        <v>209</v>
      </c>
      <c r="B21" s="105" t="s">
        <v>182</v>
      </c>
      <c r="C21" s="43">
        <f>1/F18</f>
        <v>0.5</v>
      </c>
      <c r="D21" s="43">
        <v>2</v>
      </c>
      <c r="E21" s="43">
        <v>3</v>
      </c>
      <c r="F21" s="49">
        <v>1</v>
      </c>
      <c r="G21" s="43">
        <v>3</v>
      </c>
      <c r="H21" s="58">
        <f t="shared" si="1"/>
        <v>0.20689655172413796</v>
      </c>
      <c r="I21" s="58">
        <f t="shared" si="0"/>
        <v>0.2857142857142857</v>
      </c>
      <c r="J21" s="58">
        <f t="shared" si="0"/>
        <v>0.25</v>
      </c>
      <c r="K21" s="58">
        <f t="shared" si="0"/>
        <v>0.24</v>
      </c>
      <c r="L21" s="58">
        <f t="shared" si="0"/>
        <v>0.3</v>
      </c>
      <c r="M21" s="130">
        <f t="shared" si="2"/>
        <v>0.25652216748768475</v>
      </c>
      <c r="N21" s="106"/>
      <c r="O21" s="131">
        <v>1.3556157635467978</v>
      </c>
      <c r="Q21" s="131">
        <f t="shared" si="3"/>
        <v>5.2845949994238959</v>
      </c>
    </row>
    <row r="22" spans="1:17" ht="30" x14ac:dyDescent="0.25">
      <c r="A22" s="3" t="s">
        <v>210</v>
      </c>
      <c r="B22" s="105" t="s">
        <v>183</v>
      </c>
      <c r="C22" s="43">
        <f>1/G18</f>
        <v>0.33333333333333331</v>
      </c>
      <c r="D22" s="43">
        <f>1/G19</f>
        <v>0.5</v>
      </c>
      <c r="E22" s="43">
        <v>2</v>
      </c>
      <c r="F22" s="43">
        <f>1/G21</f>
        <v>0.33333333333333331</v>
      </c>
      <c r="G22" s="49">
        <v>1</v>
      </c>
      <c r="H22" s="58">
        <f t="shared" si="1"/>
        <v>0.13793103448275862</v>
      </c>
      <c r="I22" s="58">
        <f t="shared" si="0"/>
        <v>7.1428571428571425E-2</v>
      </c>
      <c r="J22" s="58">
        <f t="shared" si="0"/>
        <v>0.16666666666666666</v>
      </c>
      <c r="K22" s="58">
        <f t="shared" si="0"/>
        <v>7.9999999999999988E-2</v>
      </c>
      <c r="L22" s="58">
        <f t="shared" si="0"/>
        <v>0.1</v>
      </c>
      <c r="M22" s="130">
        <f t="shared" si="2"/>
        <v>0.11120525451559933</v>
      </c>
      <c r="O22" s="131">
        <v>0.57912205801860972</v>
      </c>
      <c r="Q22" s="131">
        <f t="shared" si="3"/>
        <v>5.2076860984781375</v>
      </c>
    </row>
    <row r="23" spans="1:17" x14ac:dyDescent="0.25">
      <c r="C23" s="128">
        <f>SUM(C18:C22)</f>
        <v>2.4166666666666665</v>
      </c>
      <c r="D23" s="128">
        <f t="shared" ref="D23:L23" si="4">SUM(D18:D22)</f>
        <v>7</v>
      </c>
      <c r="E23" s="128">
        <f t="shared" si="4"/>
        <v>12</v>
      </c>
      <c r="F23" s="128">
        <f t="shared" si="4"/>
        <v>4.166666666666667</v>
      </c>
      <c r="G23" s="128">
        <f t="shared" si="4"/>
        <v>10</v>
      </c>
      <c r="H23" s="128">
        <f t="shared" si="4"/>
        <v>1</v>
      </c>
      <c r="I23" s="128">
        <f t="shared" si="4"/>
        <v>0.99999999999999989</v>
      </c>
      <c r="J23" s="128">
        <f t="shared" si="4"/>
        <v>1</v>
      </c>
      <c r="K23" s="128">
        <f t="shared" si="4"/>
        <v>0.99999999999999989</v>
      </c>
      <c r="L23" s="128">
        <f t="shared" si="4"/>
        <v>0.99999999999999989</v>
      </c>
    </row>
    <row r="24" spans="1:17" x14ac:dyDescent="0.25"/>
    <row r="25" spans="1:17" x14ac:dyDescent="0.25"/>
    <row r="26" spans="1:17" x14ac:dyDescent="0.25"/>
    <row r="27" spans="1:17" x14ac:dyDescent="0.25"/>
    <row r="28" spans="1:17" x14ac:dyDescent="0.25">
      <c r="F28" s="212" t="s">
        <v>113</v>
      </c>
      <c r="G28" s="212"/>
    </row>
    <row r="29" spans="1:17" x14ac:dyDescent="0.25">
      <c r="F29" s="212"/>
      <c r="G29" s="212"/>
      <c r="I29" s="133">
        <f>(D31-5)/(5-1)</f>
        <v>6.2118376380837947E-2</v>
      </c>
    </row>
    <row r="30" spans="1:17" ht="15" customHeight="1" x14ac:dyDescent="0.25">
      <c r="D30" s="3" t="s">
        <v>112</v>
      </c>
      <c r="F30" s="217" t="s">
        <v>115</v>
      </c>
      <c r="G30" s="217"/>
    </row>
    <row r="31" spans="1:17" ht="15.75" x14ac:dyDescent="0.25">
      <c r="C31" s="38" t="s">
        <v>111</v>
      </c>
      <c r="D31" s="132">
        <f>AVERAGE(Q18:Q22)</f>
        <v>5.2484735055233518</v>
      </c>
      <c r="F31" s="217"/>
      <c r="G31" s="217"/>
      <c r="I31" s="133">
        <f>(1.98*(5-2))/5</f>
        <v>1.1879999999999999</v>
      </c>
    </row>
    <row r="32" spans="1:17" x14ac:dyDescent="0.25">
      <c r="F32" s="218" t="s">
        <v>117</v>
      </c>
      <c r="G32" s="219"/>
    </row>
    <row r="33" spans="1:17" x14ac:dyDescent="0.25">
      <c r="F33" s="219"/>
      <c r="G33" s="219"/>
      <c r="I33" s="133">
        <f>I29/I31</f>
        <v>5.2288195606765953E-2</v>
      </c>
      <c r="J33" s="3" t="str">
        <f>IF(I33&gt;10%,"Inconsistente","Concistente")</f>
        <v>Concistente</v>
      </c>
    </row>
    <row r="34" spans="1:17" x14ac:dyDescent="0.25"/>
    <row r="35" spans="1:17" x14ac:dyDescent="0.25"/>
    <row r="36" spans="1:17" x14ac:dyDescent="0.25"/>
    <row r="37" spans="1:17" x14ac:dyDescent="0.25"/>
    <row r="38" spans="1:17" ht="15.75" thickBot="1" x14ac:dyDescent="0.3">
      <c r="C38" s="3" t="s">
        <v>206</v>
      </c>
      <c r="D38" s="3" t="s">
        <v>207</v>
      </c>
      <c r="E38" s="3" t="s">
        <v>208</v>
      </c>
      <c r="F38" s="3" t="s">
        <v>209</v>
      </c>
      <c r="G38" s="3" t="s">
        <v>210</v>
      </c>
    </row>
    <row r="39" spans="1:17" ht="47.25" customHeight="1" thickBot="1" x14ac:dyDescent="0.3">
      <c r="B39" s="114" t="s">
        <v>214</v>
      </c>
      <c r="C39" s="105" t="s">
        <v>171</v>
      </c>
      <c r="D39" s="105" t="s">
        <v>205</v>
      </c>
      <c r="E39" s="105" t="s">
        <v>177</v>
      </c>
      <c r="F39" s="105" t="s">
        <v>182</v>
      </c>
      <c r="G39" s="105" t="s">
        <v>183</v>
      </c>
      <c r="H39" s="215" t="s">
        <v>97</v>
      </c>
      <c r="I39" s="215"/>
      <c r="J39" s="215"/>
      <c r="K39" s="215"/>
      <c r="L39" s="215"/>
      <c r="M39" s="115" t="s">
        <v>99</v>
      </c>
      <c r="N39" s="82"/>
      <c r="O39" s="115" t="s">
        <v>132</v>
      </c>
      <c r="P39" s="30"/>
      <c r="Q39" s="115" t="s">
        <v>133</v>
      </c>
    </row>
    <row r="40" spans="1:17" ht="30" x14ac:dyDescent="0.25">
      <c r="A40" s="3" t="s">
        <v>206</v>
      </c>
      <c r="B40" s="105" t="s">
        <v>171</v>
      </c>
      <c r="C40" s="49">
        <v>1</v>
      </c>
      <c r="D40" s="43">
        <v>4</v>
      </c>
      <c r="E40" s="43">
        <v>6</v>
      </c>
      <c r="F40" s="43">
        <f>1/C43</f>
        <v>0.5</v>
      </c>
      <c r="G40" s="43">
        <v>4</v>
      </c>
      <c r="H40" s="58">
        <f>C40/C$45</f>
        <v>0.27272727272727271</v>
      </c>
      <c r="I40" s="58">
        <f t="shared" ref="I40:L40" si="5">D40/D$45</f>
        <v>0.30000000000000004</v>
      </c>
      <c r="J40" s="58">
        <f t="shared" si="5"/>
        <v>0.375</v>
      </c>
      <c r="K40" s="58">
        <f t="shared" si="5"/>
        <v>0.19736842105263158</v>
      </c>
      <c r="L40" s="58">
        <f t="shared" si="5"/>
        <v>0.52173913043478259</v>
      </c>
      <c r="M40" s="130">
        <f>AVERAGE(H40:L40)</f>
        <v>0.33336696484293737</v>
      </c>
      <c r="N40" s="106"/>
      <c r="O40" s="131" cm="1">
        <f t="array" ref="O40:O44">MMULT(C40:G44,M40:M44)</f>
        <v>1.8886111400041607</v>
      </c>
      <c r="Q40" s="131">
        <f>O40/M40</f>
        <v>5.6652618260899414</v>
      </c>
    </row>
    <row r="41" spans="1:17" ht="45" x14ac:dyDescent="0.25">
      <c r="A41" s="3" t="s">
        <v>207</v>
      </c>
      <c r="B41" s="105" t="s">
        <v>205</v>
      </c>
      <c r="C41" s="43">
        <f>1/D40</f>
        <v>0.25</v>
      </c>
      <c r="D41" s="49">
        <v>1</v>
      </c>
      <c r="E41" s="43">
        <v>3</v>
      </c>
      <c r="F41" s="43">
        <f>1/D43</f>
        <v>0.2</v>
      </c>
      <c r="G41" s="43">
        <f>1/D44</f>
        <v>0.33333333333333331</v>
      </c>
      <c r="H41" s="58">
        <f t="shared" ref="H41:H44" si="6">C41/C$45</f>
        <v>6.8181818181818177E-2</v>
      </c>
      <c r="I41" s="58">
        <f t="shared" ref="I41:I44" si="7">D41/D$45</f>
        <v>7.5000000000000011E-2</v>
      </c>
      <c r="J41" s="58">
        <f t="shared" ref="J41:J44" si="8">E41/E$45</f>
        <v>0.1875</v>
      </c>
      <c r="K41" s="58">
        <f t="shared" ref="K41:K44" si="9">F41/F$45</f>
        <v>7.8947368421052641E-2</v>
      </c>
      <c r="L41" s="58">
        <f t="shared" ref="L41:L44" si="10">G41/G$45</f>
        <v>4.3478260869565216E-2</v>
      </c>
      <c r="M41" s="130">
        <f t="shared" ref="M41:M44" si="11">AVERAGE(H41:L41)</f>
        <v>9.0621489494487201E-2</v>
      </c>
      <c r="N41" s="106"/>
      <c r="O41" s="131">
        <v>0.48321172248803823</v>
      </c>
      <c r="Q41" s="131">
        <f t="shared" ref="Q41:Q44" si="12">O41/M41</f>
        <v>5.3321979718445656</v>
      </c>
    </row>
    <row r="42" spans="1:17" ht="45" x14ac:dyDescent="0.25">
      <c r="A42" s="3" t="s">
        <v>208</v>
      </c>
      <c r="B42" s="105" t="s">
        <v>177</v>
      </c>
      <c r="C42" s="43">
        <f>1/E40</f>
        <v>0.16666666666666666</v>
      </c>
      <c r="D42" s="43">
        <f>1/E41</f>
        <v>0.33333333333333331</v>
      </c>
      <c r="E42" s="49">
        <v>1</v>
      </c>
      <c r="F42" s="43">
        <f>1/E43</f>
        <v>0.33333333333333331</v>
      </c>
      <c r="G42" s="43">
        <f>1/E44</f>
        <v>0.33333333333333331</v>
      </c>
      <c r="H42" s="58">
        <f t="shared" si="6"/>
        <v>4.5454545454545449E-2</v>
      </c>
      <c r="I42" s="58">
        <f t="shared" si="7"/>
        <v>2.5000000000000001E-2</v>
      </c>
      <c r="J42" s="58">
        <f t="shared" si="8"/>
        <v>6.25E-2</v>
      </c>
      <c r="K42" s="58">
        <f t="shared" si="9"/>
        <v>0.13157894736842105</v>
      </c>
      <c r="L42" s="58">
        <f t="shared" si="10"/>
        <v>4.3478260869565216E-2</v>
      </c>
      <c r="M42" s="130">
        <f t="shared" si="11"/>
        <v>6.1602350738506326E-2</v>
      </c>
      <c r="N42" s="106"/>
      <c r="O42" s="131">
        <v>0.31884040635184796</v>
      </c>
      <c r="Q42" s="131">
        <f t="shared" si="12"/>
        <v>5.1757831077791581</v>
      </c>
    </row>
    <row r="43" spans="1:17" ht="45" x14ac:dyDescent="0.25">
      <c r="A43" s="3" t="s">
        <v>209</v>
      </c>
      <c r="B43" s="105" t="s">
        <v>182</v>
      </c>
      <c r="C43" s="43">
        <v>2</v>
      </c>
      <c r="D43" s="43">
        <v>5</v>
      </c>
      <c r="E43" s="43">
        <v>3</v>
      </c>
      <c r="F43" s="49">
        <v>1</v>
      </c>
      <c r="G43" s="43">
        <v>2</v>
      </c>
      <c r="H43" s="58">
        <f t="shared" si="6"/>
        <v>0.54545454545454541</v>
      </c>
      <c r="I43" s="58">
        <f t="shared" si="7"/>
        <v>0.37500000000000006</v>
      </c>
      <c r="J43" s="58">
        <f t="shared" si="8"/>
        <v>0.1875</v>
      </c>
      <c r="K43" s="58">
        <f t="shared" si="9"/>
        <v>0.39473684210526316</v>
      </c>
      <c r="L43" s="58">
        <f t="shared" si="10"/>
        <v>0.2608695652173913</v>
      </c>
      <c r="M43" s="130">
        <f t="shared" si="11"/>
        <v>0.35271219055544001</v>
      </c>
      <c r="N43" s="106"/>
      <c r="O43" s="131">
        <v>1.9807546286665281</v>
      </c>
      <c r="Q43" s="131">
        <f t="shared" si="12"/>
        <v>5.615781596738401</v>
      </c>
    </row>
    <row r="44" spans="1:17" ht="30" x14ac:dyDescent="0.25">
      <c r="A44" s="3" t="s">
        <v>210</v>
      </c>
      <c r="B44" s="105" t="s">
        <v>183</v>
      </c>
      <c r="C44" s="43">
        <f>1/G40</f>
        <v>0.25</v>
      </c>
      <c r="D44" s="43">
        <v>3</v>
      </c>
      <c r="E44" s="43">
        <v>3</v>
      </c>
      <c r="F44" s="43">
        <f>1/G43</f>
        <v>0.5</v>
      </c>
      <c r="G44" s="49">
        <v>1</v>
      </c>
      <c r="H44" s="58">
        <f t="shared" si="6"/>
        <v>6.8181818181818177E-2</v>
      </c>
      <c r="I44" s="58">
        <f t="shared" si="7"/>
        <v>0.22500000000000003</v>
      </c>
      <c r="J44" s="58">
        <f t="shared" si="8"/>
        <v>0.1875</v>
      </c>
      <c r="K44" s="58">
        <f t="shared" si="9"/>
        <v>0.19736842105263158</v>
      </c>
      <c r="L44" s="58">
        <f t="shared" si="10"/>
        <v>0.13043478260869565</v>
      </c>
      <c r="M44" s="130">
        <f t="shared" si="11"/>
        <v>0.1616970043686291</v>
      </c>
      <c r="O44" s="131">
        <v>0.87806636155606399</v>
      </c>
      <c r="Q44" s="131">
        <f t="shared" si="12"/>
        <v>5.4303192875131456</v>
      </c>
    </row>
    <row r="45" spans="1:17" x14ac:dyDescent="0.25">
      <c r="C45" s="128">
        <f>SUM(C40:C44)</f>
        <v>3.666666666666667</v>
      </c>
      <c r="D45" s="128">
        <f t="shared" ref="D45" si="13">SUM(D40:D44)</f>
        <v>13.333333333333332</v>
      </c>
      <c r="E45" s="128">
        <f t="shared" ref="E45" si="14">SUM(E40:E44)</f>
        <v>16</v>
      </c>
      <c r="F45" s="128">
        <f t="shared" ref="F45" si="15">SUM(F40:F44)</f>
        <v>2.5333333333333332</v>
      </c>
      <c r="G45" s="128">
        <f t="shared" ref="G45" si="16">SUM(G40:G44)</f>
        <v>7.6666666666666661</v>
      </c>
      <c r="H45" s="128">
        <f t="shared" ref="H45" si="17">SUM(H40:H44)</f>
        <v>1</v>
      </c>
      <c r="I45" s="128">
        <f t="shared" ref="I45" si="18">SUM(I40:I44)</f>
        <v>1.0000000000000002</v>
      </c>
      <c r="J45" s="128">
        <f t="shared" ref="J45" si="19">SUM(J40:J44)</f>
        <v>1</v>
      </c>
      <c r="K45" s="128">
        <f t="shared" ref="K45" si="20">SUM(K40:K44)</f>
        <v>1</v>
      </c>
      <c r="L45" s="128">
        <f t="shared" ref="L45" si="21">SUM(L40:L44)</f>
        <v>0.99999999999999989</v>
      </c>
    </row>
    <row r="46" spans="1:17" x14ac:dyDescent="0.25"/>
    <row r="47" spans="1:17" x14ac:dyDescent="0.25"/>
    <row r="48" spans="1:17" x14ac:dyDescent="0.25"/>
    <row r="49" spans="1:17" x14ac:dyDescent="0.25"/>
    <row r="50" spans="1:17" x14ac:dyDescent="0.25">
      <c r="F50" s="212" t="s">
        <v>113</v>
      </c>
      <c r="G50" s="212"/>
    </row>
    <row r="51" spans="1:17" x14ac:dyDescent="0.25">
      <c r="F51" s="212"/>
      <c r="G51" s="212"/>
      <c r="I51" s="41">
        <f>(D53-5)/(5-1)</f>
        <v>0.11096718949826068</v>
      </c>
    </row>
    <row r="52" spans="1:17" ht="15" customHeight="1" x14ac:dyDescent="0.25">
      <c r="D52" s="3" t="s">
        <v>112</v>
      </c>
      <c r="F52" s="217" t="s">
        <v>115</v>
      </c>
      <c r="G52" s="217"/>
    </row>
    <row r="53" spans="1:17" ht="15.75" x14ac:dyDescent="0.25">
      <c r="C53" s="38" t="s">
        <v>111</v>
      </c>
      <c r="D53" s="39">
        <f>AVERAGE(Q40:Q44)</f>
        <v>5.4438687579930427</v>
      </c>
      <c r="F53" s="217"/>
      <c r="G53" s="217"/>
      <c r="I53" s="41">
        <f>(1.98*(5-2))/5</f>
        <v>1.1879999999999999</v>
      </c>
    </row>
    <row r="54" spans="1:17" x14ac:dyDescent="0.25">
      <c r="F54" s="218" t="s">
        <v>117</v>
      </c>
      <c r="G54" s="219"/>
    </row>
    <row r="55" spans="1:17" x14ac:dyDescent="0.25">
      <c r="F55" s="219"/>
      <c r="G55" s="219"/>
      <c r="I55" s="41">
        <f>I51/I53</f>
        <v>9.3406725166886098E-2</v>
      </c>
      <c r="J55" s="3" t="str">
        <f>IF(I55&gt;10%,"Inconsistente","Concistente")</f>
        <v>Concistente</v>
      </c>
    </row>
    <row r="56" spans="1:17" x14ac:dyDescent="0.25"/>
    <row r="57" spans="1:17" x14ac:dyDescent="0.25"/>
    <row r="58" spans="1:17" x14ac:dyDescent="0.25"/>
    <row r="59" spans="1:17" x14ac:dyDescent="0.25"/>
    <row r="60" spans="1:17" ht="15.75" thickBot="1" x14ac:dyDescent="0.3">
      <c r="C60" s="3" t="s">
        <v>206</v>
      </c>
      <c r="D60" s="3" t="s">
        <v>207</v>
      </c>
      <c r="E60" s="3" t="s">
        <v>208</v>
      </c>
      <c r="F60" s="3" t="s">
        <v>209</v>
      </c>
      <c r="G60" s="3" t="s">
        <v>210</v>
      </c>
    </row>
    <row r="61" spans="1:17" ht="47.25" customHeight="1" thickBot="1" x14ac:dyDescent="0.3">
      <c r="B61" s="108" t="s">
        <v>215</v>
      </c>
      <c r="C61" s="105" t="s">
        <v>171</v>
      </c>
      <c r="D61" s="105" t="s">
        <v>205</v>
      </c>
      <c r="E61" s="105" t="s">
        <v>177</v>
      </c>
      <c r="F61" s="105" t="s">
        <v>182</v>
      </c>
      <c r="G61" s="105" t="s">
        <v>183</v>
      </c>
      <c r="H61" s="215" t="s">
        <v>97</v>
      </c>
      <c r="I61" s="215"/>
      <c r="J61" s="215"/>
      <c r="K61" s="215"/>
      <c r="L61" s="215"/>
      <c r="M61" s="110" t="s">
        <v>99</v>
      </c>
      <c r="N61" s="82"/>
      <c r="O61" s="110" t="s">
        <v>132</v>
      </c>
      <c r="P61" s="30"/>
      <c r="Q61" s="110" t="s">
        <v>133</v>
      </c>
    </row>
    <row r="62" spans="1:17" ht="30" x14ac:dyDescent="0.25">
      <c r="A62" s="3" t="s">
        <v>206</v>
      </c>
      <c r="B62" s="105" t="s">
        <v>171</v>
      </c>
      <c r="C62" s="49">
        <v>1</v>
      </c>
      <c r="D62" s="43">
        <f>1/C63</f>
        <v>0.2</v>
      </c>
      <c r="E62" s="43">
        <f>1/C64</f>
        <v>0.25</v>
      </c>
      <c r="F62" s="43">
        <f>1/C65</f>
        <v>0.33333333333333331</v>
      </c>
      <c r="G62" s="43">
        <v>3</v>
      </c>
      <c r="H62" s="58">
        <f>C62/C$67</f>
        <v>7.4999999999999997E-2</v>
      </c>
      <c r="I62" s="58">
        <f t="shared" ref="I62:L62" si="22">D62/D$67</f>
        <v>2.6845637583892617E-2</v>
      </c>
      <c r="J62" s="58">
        <f t="shared" si="22"/>
        <v>0.13207547169811321</v>
      </c>
      <c r="K62" s="58">
        <f t="shared" si="22"/>
        <v>5.4794520547945202E-2</v>
      </c>
      <c r="L62" s="58">
        <f t="shared" si="22"/>
        <v>0.15789473684210525</v>
      </c>
      <c r="M62" s="130">
        <f>AVERAGE(H62:L62)</f>
        <v>8.9322073334411251E-2</v>
      </c>
      <c r="N62" s="106"/>
      <c r="O62" s="131" cm="1">
        <f t="array" ref="O62:O66">MMULT(C62:G66,M62:M66)</f>
        <v>0.4495912841362949</v>
      </c>
      <c r="Q62" s="131">
        <f>O62/M62</f>
        <v>5.0333726855295717</v>
      </c>
    </row>
    <row r="63" spans="1:17" ht="45" x14ac:dyDescent="0.25">
      <c r="A63" s="3" t="s">
        <v>207</v>
      </c>
      <c r="B63" s="105" t="s">
        <v>205</v>
      </c>
      <c r="C63" s="43">
        <v>5</v>
      </c>
      <c r="D63" s="49">
        <v>1</v>
      </c>
      <c r="E63" s="43">
        <f>1/D64</f>
        <v>0.25</v>
      </c>
      <c r="F63" s="43">
        <f>1/D65</f>
        <v>0.5</v>
      </c>
      <c r="G63" s="43">
        <v>4</v>
      </c>
      <c r="H63" s="58">
        <f t="shared" ref="H63:H66" si="23">C63/C$67</f>
        <v>0.375</v>
      </c>
      <c r="I63" s="58">
        <f t="shared" ref="I63:I66" si="24">D63/D$67</f>
        <v>0.13422818791946309</v>
      </c>
      <c r="J63" s="58">
        <f t="shared" ref="J63:J66" si="25">E63/E$67</f>
        <v>0.13207547169811321</v>
      </c>
      <c r="K63" s="58">
        <f t="shared" ref="K63:K66" si="26">F63/F$67</f>
        <v>8.2191780821917818E-2</v>
      </c>
      <c r="L63" s="58">
        <f t="shared" ref="L63:L66" si="27">G63/G$67</f>
        <v>0.21052631578947367</v>
      </c>
      <c r="M63" s="130">
        <f t="shared" ref="M63:M66" si="28">AVERAGE(H63:L63)</f>
        <v>0.18680435124579356</v>
      </c>
      <c r="N63" s="106"/>
      <c r="O63" s="131">
        <v>1.0352223588598666</v>
      </c>
      <c r="Q63" s="131">
        <f t="shared" ref="Q63:Q66" si="29">O63/M63</f>
        <v>5.5417464954964615</v>
      </c>
    </row>
    <row r="64" spans="1:17" ht="45" x14ac:dyDescent="0.25">
      <c r="A64" s="3" t="s">
        <v>208</v>
      </c>
      <c r="B64" s="105" t="s">
        <v>177</v>
      </c>
      <c r="C64" s="43">
        <v>4</v>
      </c>
      <c r="D64" s="43">
        <v>4</v>
      </c>
      <c r="E64" s="49">
        <v>1</v>
      </c>
      <c r="F64" s="43">
        <v>4</v>
      </c>
      <c r="G64" s="43">
        <v>7</v>
      </c>
      <c r="H64" s="58">
        <f t="shared" si="23"/>
        <v>0.3</v>
      </c>
      <c r="I64" s="58">
        <f t="shared" si="24"/>
        <v>0.53691275167785235</v>
      </c>
      <c r="J64" s="58">
        <f t="shared" si="25"/>
        <v>0.52830188679245282</v>
      </c>
      <c r="K64" s="58">
        <f t="shared" si="26"/>
        <v>0.65753424657534254</v>
      </c>
      <c r="L64" s="58">
        <f t="shared" si="27"/>
        <v>0.36842105263157893</v>
      </c>
      <c r="M64" s="130">
        <f t="shared" si="28"/>
        <v>0.47823398753544522</v>
      </c>
      <c r="N64" s="106"/>
      <c r="O64" s="131">
        <v>2.701951766064504</v>
      </c>
      <c r="Q64" s="131">
        <f t="shared" si="29"/>
        <v>5.6498530771283662</v>
      </c>
    </row>
    <row r="65" spans="1:17" ht="45" x14ac:dyDescent="0.25">
      <c r="A65" s="3" t="s">
        <v>209</v>
      </c>
      <c r="B65" s="105" t="s">
        <v>182</v>
      </c>
      <c r="C65" s="43">
        <v>3</v>
      </c>
      <c r="D65" s="43">
        <v>2</v>
      </c>
      <c r="E65" s="43">
        <f>1/F64</f>
        <v>0.25</v>
      </c>
      <c r="F65" s="49">
        <v>1</v>
      </c>
      <c r="G65" s="43">
        <v>4</v>
      </c>
      <c r="H65" s="58">
        <f t="shared" si="23"/>
        <v>0.22499999999999998</v>
      </c>
      <c r="I65" s="58">
        <f t="shared" si="24"/>
        <v>0.26845637583892618</v>
      </c>
      <c r="J65" s="58">
        <f t="shared" si="25"/>
        <v>0.13207547169811321</v>
      </c>
      <c r="K65" s="58">
        <f t="shared" si="26"/>
        <v>0.16438356164383564</v>
      </c>
      <c r="L65" s="58">
        <f t="shared" si="27"/>
        <v>0.21052631578947367</v>
      </c>
      <c r="M65" s="130">
        <f t="shared" si="28"/>
        <v>0.20008834499406972</v>
      </c>
      <c r="N65" s="106"/>
      <c r="O65" s="131">
        <v>1.1434267359338723</v>
      </c>
      <c r="Q65" s="131">
        <f t="shared" si="29"/>
        <v>5.7146093940042411</v>
      </c>
    </row>
    <row r="66" spans="1:17" ht="30" x14ac:dyDescent="0.25">
      <c r="A66" s="3" t="s">
        <v>210</v>
      </c>
      <c r="B66" s="105" t="s">
        <v>183</v>
      </c>
      <c r="C66" s="43">
        <f>1/G62</f>
        <v>0.33333333333333331</v>
      </c>
      <c r="D66" s="43">
        <f>1/G63</f>
        <v>0.25</v>
      </c>
      <c r="E66" s="43">
        <f>1/G64</f>
        <v>0.14285714285714285</v>
      </c>
      <c r="F66" s="43">
        <f>1/G65</f>
        <v>0.25</v>
      </c>
      <c r="G66" s="49">
        <v>1</v>
      </c>
      <c r="H66" s="58">
        <f t="shared" si="23"/>
        <v>2.4999999999999998E-2</v>
      </c>
      <c r="I66" s="58">
        <f t="shared" si="24"/>
        <v>3.3557046979865772E-2</v>
      </c>
      <c r="J66" s="58">
        <f t="shared" si="25"/>
        <v>7.5471698113207544E-2</v>
      </c>
      <c r="K66" s="58">
        <f t="shared" si="26"/>
        <v>4.1095890410958909E-2</v>
      </c>
      <c r="L66" s="58">
        <f t="shared" si="27"/>
        <v>5.2631578947368418E-2</v>
      </c>
      <c r="M66" s="130">
        <f t="shared" si="28"/>
        <v>4.5551242890280133E-2</v>
      </c>
      <c r="O66" s="131">
        <v>0.24036758247154189</v>
      </c>
      <c r="Q66" s="131">
        <f t="shared" si="29"/>
        <v>5.2768611177200668</v>
      </c>
    </row>
    <row r="67" spans="1:17" x14ac:dyDescent="0.25">
      <c r="C67" s="128">
        <f>SUM(C62:C66)</f>
        <v>13.333333333333334</v>
      </c>
      <c r="D67" s="128">
        <f t="shared" ref="D67" si="30">SUM(D62:D66)</f>
        <v>7.45</v>
      </c>
      <c r="E67" s="128">
        <f t="shared" ref="E67" si="31">SUM(E62:E66)</f>
        <v>1.8928571428571428</v>
      </c>
      <c r="F67" s="128">
        <f t="shared" ref="F67" si="32">SUM(F62:F66)</f>
        <v>6.083333333333333</v>
      </c>
      <c r="G67" s="128">
        <f t="shared" ref="G67" si="33">SUM(G62:G66)</f>
        <v>19</v>
      </c>
      <c r="H67" s="128">
        <f t="shared" ref="H67" si="34">SUM(H62:H66)</f>
        <v>1</v>
      </c>
      <c r="I67" s="128">
        <f t="shared" ref="I67" si="35">SUM(I62:I66)</f>
        <v>0.99999999999999989</v>
      </c>
      <c r="J67" s="128">
        <f t="shared" ref="J67" si="36">SUM(J62:J66)</f>
        <v>1</v>
      </c>
      <c r="K67" s="128">
        <f t="shared" ref="K67" si="37">SUM(K62:K66)</f>
        <v>1</v>
      </c>
      <c r="L67" s="128">
        <f t="shared" ref="L67" si="38">SUM(L62:L66)</f>
        <v>1</v>
      </c>
    </row>
    <row r="68" spans="1:17" x14ac:dyDescent="0.25"/>
    <row r="69" spans="1:17" x14ac:dyDescent="0.25"/>
    <row r="70" spans="1:17" x14ac:dyDescent="0.25"/>
    <row r="71" spans="1:17" x14ac:dyDescent="0.25"/>
    <row r="72" spans="1:17" x14ac:dyDescent="0.25">
      <c r="F72" s="212" t="s">
        <v>113</v>
      </c>
      <c r="G72" s="212"/>
    </row>
    <row r="73" spans="1:17" x14ac:dyDescent="0.25">
      <c r="F73" s="212"/>
      <c r="G73" s="212"/>
      <c r="I73" s="133">
        <f>(D75-5)/(5-1)</f>
        <v>0.11082213849393541</v>
      </c>
    </row>
    <row r="74" spans="1:17" ht="15" customHeight="1" x14ac:dyDescent="0.25">
      <c r="D74" s="3" t="s">
        <v>112</v>
      </c>
      <c r="F74" s="217" t="s">
        <v>115</v>
      </c>
      <c r="G74" s="217"/>
    </row>
    <row r="75" spans="1:17" ht="15.75" x14ac:dyDescent="0.25">
      <c r="C75" s="38" t="s">
        <v>111</v>
      </c>
      <c r="D75" s="132">
        <f>AVERAGE(Q62:Q66)</f>
        <v>5.4432885539757416</v>
      </c>
      <c r="F75" s="217"/>
      <c r="G75" s="217"/>
      <c r="I75" s="133">
        <f>(1.98*(5-2))/5</f>
        <v>1.1879999999999999</v>
      </c>
    </row>
    <row r="76" spans="1:17" x14ac:dyDescent="0.25">
      <c r="F76" s="218" t="s">
        <v>117</v>
      </c>
      <c r="G76" s="219"/>
    </row>
    <row r="77" spans="1:17" x14ac:dyDescent="0.25">
      <c r="F77" s="219"/>
      <c r="G77" s="219"/>
      <c r="I77" s="133">
        <f>I73/I75</f>
        <v>9.3284628361898492E-2</v>
      </c>
      <c r="J77" s="3" t="str">
        <f>IF(I77&gt;10%,"Inconsistente","Concistente")</f>
        <v>Concistente</v>
      </c>
    </row>
    <row r="78" spans="1:17" x14ac:dyDescent="0.25"/>
    <row r="79" spans="1:17" x14ac:dyDescent="0.25"/>
    <row r="80" spans="1:17" x14ac:dyDescent="0.25"/>
    <row r="81" spans="1:17" x14ac:dyDescent="0.25"/>
    <row r="82" spans="1:17" x14ac:dyDescent="0.25"/>
    <row r="83" spans="1:17" ht="15.75" thickBot="1" x14ac:dyDescent="0.3">
      <c r="C83" s="3" t="s">
        <v>206</v>
      </c>
      <c r="D83" s="3" t="s">
        <v>207</v>
      </c>
      <c r="E83" s="3" t="s">
        <v>208</v>
      </c>
      <c r="F83" s="3" t="s">
        <v>209</v>
      </c>
      <c r="G83" s="3" t="s">
        <v>210</v>
      </c>
    </row>
    <row r="84" spans="1:17" ht="47.25" customHeight="1" thickBot="1" x14ac:dyDescent="0.3">
      <c r="B84" s="111" t="s">
        <v>216</v>
      </c>
      <c r="C84" s="105" t="s">
        <v>171</v>
      </c>
      <c r="D84" s="105" t="s">
        <v>205</v>
      </c>
      <c r="E84" s="105" t="s">
        <v>177</v>
      </c>
      <c r="F84" s="105" t="s">
        <v>182</v>
      </c>
      <c r="G84" s="105" t="s">
        <v>183</v>
      </c>
      <c r="H84" s="215" t="s">
        <v>97</v>
      </c>
      <c r="I84" s="215"/>
      <c r="J84" s="215"/>
      <c r="K84" s="215"/>
      <c r="L84" s="215"/>
      <c r="M84" s="112" t="s">
        <v>99</v>
      </c>
      <c r="N84" s="82"/>
      <c r="O84" s="112" t="s">
        <v>132</v>
      </c>
      <c r="P84" s="30"/>
      <c r="Q84" s="112" t="s">
        <v>133</v>
      </c>
    </row>
    <row r="85" spans="1:17" ht="30" x14ac:dyDescent="0.25">
      <c r="A85" s="3" t="s">
        <v>206</v>
      </c>
      <c r="B85" s="105" t="s">
        <v>171</v>
      </c>
      <c r="C85" s="49">
        <v>1</v>
      </c>
      <c r="D85" s="43">
        <v>7</v>
      </c>
      <c r="E85" s="43">
        <v>2</v>
      </c>
      <c r="F85" s="43">
        <v>4</v>
      </c>
      <c r="G85" s="43">
        <v>2</v>
      </c>
      <c r="H85" s="58">
        <f>C85/C$90</f>
        <v>0.25688073394495414</v>
      </c>
      <c r="I85" s="58">
        <f t="shared" ref="I85:L85" si="39">D85/D$90</f>
        <v>0.33333333333333331</v>
      </c>
      <c r="J85" s="58">
        <f t="shared" si="39"/>
        <v>0.3428571428571428</v>
      </c>
      <c r="K85" s="58">
        <f t="shared" si="39"/>
        <v>0.34782608695652173</v>
      </c>
      <c r="L85" s="58">
        <f t="shared" si="39"/>
        <v>0.5161290322580645</v>
      </c>
      <c r="M85" s="130">
        <f>AVERAGE(H85:L85)</f>
        <v>0.35940526587000327</v>
      </c>
      <c r="N85" s="106"/>
      <c r="O85" s="131" cm="1">
        <f t="array" ref="O85:O89">MMULT(C85:G89,M85:M89)</f>
        <v>2.0164482980680205</v>
      </c>
      <c r="Q85" s="131">
        <f>O85/M85</f>
        <v>5.6105140618539773</v>
      </c>
    </row>
    <row r="86" spans="1:17" ht="45" x14ac:dyDescent="0.25">
      <c r="A86" s="3" t="s">
        <v>207</v>
      </c>
      <c r="B86" s="105" t="s">
        <v>205</v>
      </c>
      <c r="C86" s="43">
        <f>1/D85</f>
        <v>0.14285714285714285</v>
      </c>
      <c r="D86" s="49">
        <v>1</v>
      </c>
      <c r="E86" s="43">
        <f>1/D87</f>
        <v>0.33333333333333331</v>
      </c>
      <c r="F86" s="43">
        <f>1/D88</f>
        <v>0.5</v>
      </c>
      <c r="G86" s="43">
        <f>1/D89</f>
        <v>0.125</v>
      </c>
      <c r="H86" s="58">
        <f t="shared" ref="H86:H89" si="40">C86/C$90</f>
        <v>3.6697247706422013E-2</v>
      </c>
      <c r="I86" s="58">
        <f t="shared" ref="I86:I89" si="41">D86/D$90</f>
        <v>4.7619047619047616E-2</v>
      </c>
      <c r="J86" s="58">
        <f t="shared" ref="J86:J89" si="42">E86/E$90</f>
        <v>5.7142857142857134E-2</v>
      </c>
      <c r="K86" s="58">
        <f t="shared" ref="K86:K89" si="43">F86/F$90</f>
        <v>4.3478260869565216E-2</v>
      </c>
      <c r="L86" s="58">
        <f t="shared" ref="L86:L89" si="44">G86/G$90</f>
        <v>3.2258064516129031E-2</v>
      </c>
      <c r="M86" s="130">
        <f t="shared" ref="M86:M89" si="45">AVERAGE(H86:L86)</f>
        <v>4.3439095570804206E-2</v>
      </c>
      <c r="N86" s="106"/>
      <c r="O86" s="131">
        <v>0.23024519189149467</v>
      </c>
      <c r="Q86" s="131">
        <f t="shared" ref="Q86:Q89" si="46">O86/M86</f>
        <v>5.3004140363880978</v>
      </c>
    </row>
    <row r="87" spans="1:17" ht="45" x14ac:dyDescent="0.25">
      <c r="A87" s="3" t="s">
        <v>208</v>
      </c>
      <c r="B87" s="105" t="s">
        <v>177</v>
      </c>
      <c r="C87" s="43">
        <f>1/E85</f>
        <v>0.5</v>
      </c>
      <c r="D87" s="43">
        <v>3</v>
      </c>
      <c r="E87" s="49">
        <v>1</v>
      </c>
      <c r="F87" s="43">
        <v>2</v>
      </c>
      <c r="G87" s="43">
        <f>1/E89</f>
        <v>0.5</v>
      </c>
      <c r="H87" s="58">
        <f t="shared" si="40"/>
        <v>0.12844036697247707</v>
      </c>
      <c r="I87" s="58">
        <f t="shared" si="41"/>
        <v>0.14285714285714285</v>
      </c>
      <c r="J87" s="58">
        <f t="shared" si="42"/>
        <v>0.1714285714285714</v>
      </c>
      <c r="K87" s="58">
        <f t="shared" si="43"/>
        <v>0.17391304347826086</v>
      </c>
      <c r="L87" s="58">
        <f t="shared" si="44"/>
        <v>0.12903225806451613</v>
      </c>
      <c r="M87" s="130">
        <f t="shared" si="45"/>
        <v>0.14913427656019368</v>
      </c>
      <c r="N87" s="106"/>
      <c r="O87" s="131">
        <v>0.80215844177010975</v>
      </c>
      <c r="Q87" s="131">
        <f t="shared" si="46"/>
        <v>5.3787664396946466</v>
      </c>
    </row>
    <row r="88" spans="1:17" ht="45" x14ac:dyDescent="0.25">
      <c r="A88" s="3" t="s">
        <v>209</v>
      </c>
      <c r="B88" s="105" t="s">
        <v>182</v>
      </c>
      <c r="C88" s="43">
        <f>1/F85</f>
        <v>0.25</v>
      </c>
      <c r="D88" s="43">
        <v>2</v>
      </c>
      <c r="E88" s="43">
        <f>1/F87</f>
        <v>0.5</v>
      </c>
      <c r="F88" s="49">
        <v>1</v>
      </c>
      <c r="G88" s="43">
        <f>1/F89</f>
        <v>0.25</v>
      </c>
      <c r="H88" s="58">
        <f t="shared" si="40"/>
        <v>6.4220183486238536E-2</v>
      </c>
      <c r="I88" s="58">
        <f t="shared" si="41"/>
        <v>9.5238095238095233E-2</v>
      </c>
      <c r="J88" s="58">
        <f t="shared" si="42"/>
        <v>8.5714285714285701E-2</v>
      </c>
      <c r="K88" s="58">
        <f t="shared" si="43"/>
        <v>8.6956521739130432E-2</v>
      </c>
      <c r="L88" s="58">
        <f t="shared" si="44"/>
        <v>6.4516129032258063E-2</v>
      </c>
      <c r="M88" s="130">
        <f t="shared" si="45"/>
        <v>7.9329043042001585E-2</v>
      </c>
      <c r="N88" s="106"/>
      <c r="O88" s="131">
        <v>0.42279876867045696</v>
      </c>
      <c r="Q88" s="131">
        <f t="shared" si="46"/>
        <v>5.3296844693639098</v>
      </c>
    </row>
    <row r="89" spans="1:17" ht="30" x14ac:dyDescent="0.25">
      <c r="A89" s="3" t="s">
        <v>210</v>
      </c>
      <c r="B89" s="105" t="s">
        <v>183</v>
      </c>
      <c r="C89" s="43">
        <f>G85</f>
        <v>2</v>
      </c>
      <c r="D89" s="43">
        <v>8</v>
      </c>
      <c r="E89" s="43">
        <v>2</v>
      </c>
      <c r="F89" s="43">
        <v>4</v>
      </c>
      <c r="G89" s="49">
        <v>1</v>
      </c>
      <c r="H89" s="58">
        <f t="shared" si="40"/>
        <v>0.51376146788990829</v>
      </c>
      <c r="I89" s="58">
        <f t="shared" si="41"/>
        <v>0.38095238095238093</v>
      </c>
      <c r="J89" s="58">
        <f t="shared" si="42"/>
        <v>0.3428571428571428</v>
      </c>
      <c r="K89" s="58">
        <f t="shared" si="43"/>
        <v>0.34782608695652173</v>
      </c>
      <c r="L89" s="58">
        <f t="shared" si="44"/>
        <v>0.25806451612903225</v>
      </c>
      <c r="M89" s="130">
        <f t="shared" si="45"/>
        <v>0.36869231895699717</v>
      </c>
      <c r="O89" s="131">
        <v>2.0506003405518309</v>
      </c>
      <c r="Q89" s="131">
        <f t="shared" si="46"/>
        <v>5.5618200735855439</v>
      </c>
    </row>
    <row r="90" spans="1:17" x14ac:dyDescent="0.25">
      <c r="C90" s="128">
        <f>SUM(C85:C89)</f>
        <v>3.8928571428571428</v>
      </c>
      <c r="D90" s="128">
        <f t="shared" ref="D90" si="47">SUM(D85:D89)</f>
        <v>21</v>
      </c>
      <c r="E90" s="128">
        <f t="shared" ref="E90" si="48">SUM(E85:E89)</f>
        <v>5.8333333333333339</v>
      </c>
      <c r="F90" s="128">
        <f t="shared" ref="F90" si="49">SUM(F85:F89)</f>
        <v>11.5</v>
      </c>
      <c r="G90" s="128">
        <f t="shared" ref="G90" si="50">SUM(G85:G89)</f>
        <v>3.875</v>
      </c>
      <c r="H90" s="128">
        <f t="shared" ref="H90" si="51">SUM(H85:H89)</f>
        <v>1</v>
      </c>
      <c r="I90" s="128">
        <f t="shared" ref="I90" si="52">SUM(I85:I89)</f>
        <v>0.99999999999999989</v>
      </c>
      <c r="J90" s="128">
        <f t="shared" ref="J90" si="53">SUM(J85:J89)</f>
        <v>0.99999999999999978</v>
      </c>
      <c r="K90" s="128">
        <f t="shared" ref="K90" si="54">SUM(K85:K89)</f>
        <v>1</v>
      </c>
      <c r="L90" s="128">
        <f t="shared" ref="L90" si="55">SUM(L85:L89)</f>
        <v>1</v>
      </c>
      <c r="M90" s="129"/>
    </row>
    <row r="91" spans="1:17" x14ac:dyDescent="0.25"/>
    <row r="92" spans="1:17" x14ac:dyDescent="0.25"/>
    <row r="93" spans="1:17" x14ac:dyDescent="0.25"/>
    <row r="94" spans="1:17" x14ac:dyDescent="0.25"/>
    <row r="95" spans="1:17" x14ac:dyDescent="0.25">
      <c r="F95" s="212" t="s">
        <v>113</v>
      </c>
      <c r="G95" s="212"/>
    </row>
    <row r="96" spans="1:17" x14ac:dyDescent="0.25">
      <c r="F96" s="212"/>
      <c r="G96" s="212"/>
      <c r="I96" s="133">
        <f>(D98-5)/(5-1)</f>
        <v>0.10905995404430868</v>
      </c>
    </row>
    <row r="97" spans="3:10" ht="15" customHeight="1" x14ac:dyDescent="0.25">
      <c r="D97" s="3" t="s">
        <v>112</v>
      </c>
      <c r="F97" s="217" t="s">
        <v>115</v>
      </c>
      <c r="G97" s="217"/>
    </row>
    <row r="98" spans="3:10" ht="15.75" x14ac:dyDescent="0.25">
      <c r="C98" s="38" t="s">
        <v>111</v>
      </c>
      <c r="D98" s="132">
        <f>AVERAGE(Q85:Q89)</f>
        <v>5.4362398161772347</v>
      </c>
      <c r="F98" s="217"/>
      <c r="G98" s="217"/>
      <c r="I98" s="133">
        <f>(1.98*(5-2))/5</f>
        <v>1.1879999999999999</v>
      </c>
    </row>
    <row r="99" spans="3:10" x14ac:dyDescent="0.25">
      <c r="F99" s="218" t="s">
        <v>117</v>
      </c>
      <c r="G99" s="219"/>
    </row>
    <row r="100" spans="3:10" x14ac:dyDescent="0.25">
      <c r="F100" s="219"/>
      <c r="G100" s="219"/>
      <c r="I100" s="133">
        <f>I96/I98</f>
        <v>9.1801308118104955E-2</v>
      </c>
      <c r="J100" s="3" t="str">
        <f>IF(I100&gt;10%,"Inconsistente","Concistente")</f>
        <v>Concistente</v>
      </c>
    </row>
    <row r="101" spans="3:10" x14ac:dyDescent="0.25"/>
    <row r="102" spans="3:10" x14ac:dyDescent="0.25"/>
  </sheetData>
  <mergeCells count="19">
    <mergeCell ref="F30:G31"/>
    <mergeCell ref="C3:P3"/>
    <mergeCell ref="C4:P10"/>
    <mergeCell ref="F99:G100"/>
    <mergeCell ref="C13:P13"/>
    <mergeCell ref="F72:G73"/>
    <mergeCell ref="F74:G75"/>
    <mergeCell ref="F76:G77"/>
    <mergeCell ref="H84:L84"/>
    <mergeCell ref="F95:G96"/>
    <mergeCell ref="F97:G98"/>
    <mergeCell ref="F32:G33"/>
    <mergeCell ref="F28:G29"/>
    <mergeCell ref="H39:L39"/>
    <mergeCell ref="F50:G51"/>
    <mergeCell ref="F52:G53"/>
    <mergeCell ref="F54:G55"/>
    <mergeCell ref="H61:L61"/>
    <mergeCell ref="H17:L17"/>
  </mergeCells>
  <conditionalFormatting sqref="I33">
    <cfRule type="cellIs" dxfId="7" priority="10" operator="greaterThan">
      <formula>0.1</formula>
    </cfRule>
    <cfRule type="cellIs" dxfId="6" priority="11" operator="lessThanOrEqual">
      <formula>0.1</formula>
    </cfRule>
  </conditionalFormatting>
  <conditionalFormatting sqref="I55">
    <cfRule type="cellIs" dxfId="5" priority="7" operator="greaterThan">
      <formula>0.1</formula>
    </cfRule>
    <cfRule type="cellIs" dxfId="4" priority="8" operator="lessThanOrEqual">
      <formula>0.1</formula>
    </cfRule>
  </conditionalFormatting>
  <conditionalFormatting sqref="I77">
    <cfRule type="cellIs" dxfId="3" priority="4" operator="greaterThan">
      <formula>0.1</formula>
    </cfRule>
    <cfRule type="cellIs" dxfId="2" priority="5" operator="lessThanOrEqual">
      <formula>0.1</formula>
    </cfRule>
  </conditionalFormatting>
  <conditionalFormatting sqref="I100">
    <cfRule type="cellIs" dxfId="1" priority="1" operator="greaterThan">
      <formula>0.1</formula>
    </cfRule>
    <cfRule type="cellIs" dxfId="0" priority="2" operator="lessThanOrEqual">
      <formula>0.1</formula>
    </cfRule>
  </conditionalFormatting>
  <conditionalFormatting sqref="M18:M22">
    <cfRule type="colorScale" priority="12">
      <colorScale>
        <cfvo type="min"/>
        <cfvo type="percentile" val="50"/>
        <cfvo type="max"/>
        <color rgb="FFF8696B"/>
        <color rgb="FFFFEB84"/>
        <color rgb="FF63BE7B"/>
      </colorScale>
    </cfRule>
  </conditionalFormatting>
  <conditionalFormatting sqref="M40:M44">
    <cfRule type="colorScale" priority="9">
      <colorScale>
        <cfvo type="min"/>
        <cfvo type="percentile" val="50"/>
        <cfvo type="max"/>
        <color rgb="FFF8696B"/>
        <color rgb="FFFFEB84"/>
        <color rgb="FF63BE7B"/>
      </colorScale>
    </cfRule>
  </conditionalFormatting>
  <conditionalFormatting sqref="M62:M66">
    <cfRule type="colorScale" priority="6">
      <colorScale>
        <cfvo type="min"/>
        <cfvo type="percentile" val="50"/>
        <cfvo type="max"/>
        <color rgb="FFF8696B"/>
        <color rgb="FFFFEB84"/>
        <color rgb="FF63BE7B"/>
      </colorScale>
    </cfRule>
  </conditionalFormatting>
  <conditionalFormatting sqref="M85:M89">
    <cfRule type="colorScale" priority="3">
      <colorScale>
        <cfvo type="min"/>
        <cfvo type="percentile" val="50"/>
        <cfvo type="max"/>
        <color rgb="FFF8696B"/>
        <color rgb="FFFFEB84"/>
        <color rgb="FF63BE7B"/>
      </colorScale>
    </cfRule>
  </conditionalFormatting>
  <dataValidations count="1">
    <dataValidation type="whole" operator="equal" allowBlank="1" showInputMessage="1" showErrorMessage="1" sqref="C18 D19 E20 F21 G22 C40 D41 E42 F43 G44 C62 D63 E64 F65 G66 C85 D86 E87 F88 G89" xr:uid="{925C7211-5891-4DB6-B627-726E45C7CD12}">
      <formula1>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59A5B-EA6D-4426-856D-08CEC8B92F7E}">
  <dimension ref="A1:BI31"/>
  <sheetViews>
    <sheetView zoomScale="90" zoomScaleNormal="90" workbookViewId="0">
      <selection activeCell="J29" sqref="J29:L29"/>
    </sheetView>
  </sheetViews>
  <sheetFormatPr baseColWidth="10" defaultColWidth="0" defaultRowHeight="15" zeroHeight="1" x14ac:dyDescent="0.25"/>
  <cols>
    <col min="1" max="1" width="4.140625" style="1" customWidth="1"/>
    <col min="2" max="2" width="15.7109375" style="1" customWidth="1"/>
    <col min="3" max="3" width="20" style="1" bestFit="1" customWidth="1"/>
    <col min="4" max="4" width="14.7109375" style="1" customWidth="1"/>
    <col min="5" max="6" width="11.42578125" style="1" customWidth="1"/>
    <col min="7" max="7" width="14.5703125" style="1" customWidth="1"/>
    <col min="8" max="15" width="11.42578125" style="1" customWidth="1"/>
    <col min="16" max="16" width="4.140625" style="1" customWidth="1"/>
    <col min="17" max="61" width="0" style="1" hidden="1" customWidth="1"/>
    <col min="62" max="16384" width="11.42578125" style="1" hidden="1"/>
  </cols>
  <sheetData>
    <row r="1" spans="2:15" x14ac:dyDescent="0.25"/>
    <row r="2" spans="2:15" ht="36.75" customHeight="1" thickBot="1" x14ac:dyDescent="0.3"/>
    <row r="3" spans="2:15" s="24" customFormat="1" ht="33.75" customHeight="1" thickBot="1" x14ac:dyDescent="0.3">
      <c r="C3" s="170" t="s">
        <v>227</v>
      </c>
      <c r="D3" s="182"/>
      <c r="E3" s="182"/>
      <c r="F3" s="182"/>
      <c r="G3" s="182"/>
      <c r="H3" s="182"/>
      <c r="I3" s="182"/>
      <c r="J3" s="182"/>
      <c r="K3" s="182"/>
      <c r="L3" s="182"/>
      <c r="M3" s="182"/>
      <c r="N3" s="182"/>
      <c r="O3" s="183"/>
    </row>
    <row r="4" spans="2:15" s="24" customFormat="1" ht="15" customHeight="1" x14ac:dyDescent="0.25">
      <c r="C4" s="187" t="s">
        <v>211</v>
      </c>
      <c r="D4" s="188"/>
      <c r="E4" s="188"/>
      <c r="F4" s="188"/>
      <c r="G4" s="188"/>
      <c r="H4" s="188"/>
      <c r="I4" s="188"/>
      <c r="J4" s="188"/>
      <c r="K4" s="188"/>
      <c r="L4" s="188"/>
      <c r="M4" s="188"/>
      <c r="N4" s="188"/>
      <c r="O4" s="189"/>
    </row>
    <row r="5" spans="2:15" s="24" customFormat="1" ht="15" customHeight="1" x14ac:dyDescent="0.25">
      <c r="C5" s="190"/>
      <c r="D5" s="191"/>
      <c r="E5" s="191"/>
      <c r="F5" s="191"/>
      <c r="G5" s="191"/>
      <c r="H5" s="191"/>
      <c r="I5" s="191"/>
      <c r="J5" s="191"/>
      <c r="K5" s="191"/>
      <c r="L5" s="191"/>
      <c r="M5" s="191"/>
      <c r="N5" s="191"/>
      <c r="O5" s="192"/>
    </row>
    <row r="6" spans="2:15" s="24" customFormat="1" ht="15" customHeight="1" x14ac:dyDescent="0.25">
      <c r="C6" s="190"/>
      <c r="D6" s="191"/>
      <c r="E6" s="191"/>
      <c r="F6" s="191"/>
      <c r="G6" s="191"/>
      <c r="H6" s="191"/>
      <c r="I6" s="191"/>
      <c r="J6" s="191"/>
      <c r="K6" s="191"/>
      <c r="L6" s="191"/>
      <c r="M6" s="191"/>
      <c r="N6" s="191"/>
      <c r="O6" s="192"/>
    </row>
    <row r="7" spans="2:15" s="24" customFormat="1" ht="15" customHeight="1" x14ac:dyDescent="0.25">
      <c r="C7" s="190"/>
      <c r="D7" s="191"/>
      <c r="E7" s="191"/>
      <c r="F7" s="191"/>
      <c r="G7" s="191"/>
      <c r="H7" s="191"/>
      <c r="I7" s="191"/>
      <c r="J7" s="191"/>
      <c r="K7" s="191"/>
      <c r="L7" s="191"/>
      <c r="M7" s="191"/>
      <c r="N7" s="191"/>
      <c r="O7" s="192"/>
    </row>
    <row r="8" spans="2:15" s="24" customFormat="1" ht="15" customHeight="1" x14ac:dyDescent="0.25">
      <c r="C8" s="190"/>
      <c r="D8" s="191"/>
      <c r="E8" s="191"/>
      <c r="F8" s="191"/>
      <c r="G8" s="191"/>
      <c r="H8" s="191"/>
      <c r="I8" s="191"/>
      <c r="J8" s="191"/>
      <c r="K8" s="191"/>
      <c r="L8" s="191"/>
      <c r="M8" s="191"/>
      <c r="N8" s="191"/>
      <c r="O8" s="192"/>
    </row>
    <row r="9" spans="2:15" s="24" customFormat="1" ht="15" customHeight="1" x14ac:dyDescent="0.25">
      <c r="C9" s="190"/>
      <c r="D9" s="191"/>
      <c r="E9" s="191"/>
      <c r="F9" s="191"/>
      <c r="G9" s="191"/>
      <c r="H9" s="191"/>
      <c r="I9" s="191"/>
      <c r="J9" s="191"/>
      <c r="K9" s="191"/>
      <c r="L9" s="191"/>
      <c r="M9" s="191"/>
      <c r="N9" s="191"/>
      <c r="O9" s="192"/>
    </row>
    <row r="10" spans="2:15" s="24" customFormat="1" ht="15.75" customHeight="1" thickBot="1" x14ac:dyDescent="0.3">
      <c r="C10" s="193"/>
      <c r="D10" s="194"/>
      <c r="E10" s="194"/>
      <c r="F10" s="194"/>
      <c r="G10" s="194"/>
      <c r="H10" s="194"/>
      <c r="I10" s="194"/>
      <c r="J10" s="194"/>
      <c r="K10" s="194"/>
      <c r="L10" s="194"/>
      <c r="M10" s="194"/>
      <c r="N10" s="194"/>
      <c r="O10" s="195"/>
    </row>
    <row r="11" spans="2:15" x14ac:dyDescent="0.25"/>
    <row r="12" spans="2:15" x14ac:dyDescent="0.25"/>
    <row r="13" spans="2:15" ht="27" customHeight="1" x14ac:dyDescent="0.25">
      <c r="C13" s="228" t="s">
        <v>232</v>
      </c>
      <c r="D13" s="228"/>
      <c r="E13" s="228"/>
      <c r="F13" s="228"/>
      <c r="G13" s="228"/>
      <c r="H13" s="228"/>
      <c r="I13" s="228"/>
      <c r="J13" s="228"/>
      <c r="K13" s="228"/>
      <c r="L13" s="228"/>
      <c r="M13" s="228"/>
      <c r="N13" s="228"/>
      <c r="O13" s="228"/>
    </row>
    <row r="14" spans="2:15" x14ac:dyDescent="0.25">
      <c r="D14" s="1" t="s">
        <v>93</v>
      </c>
      <c r="E14" s="1" t="s">
        <v>94</v>
      </c>
      <c r="F14" s="1" t="s">
        <v>95</v>
      </c>
      <c r="G14" s="1" t="s">
        <v>96</v>
      </c>
    </row>
    <row r="15" spans="2:15" ht="45" x14ac:dyDescent="0.25">
      <c r="D15" s="53" t="s">
        <v>89</v>
      </c>
      <c r="E15" s="115" t="s">
        <v>48</v>
      </c>
      <c r="F15" s="110" t="s">
        <v>90</v>
      </c>
      <c r="G15" s="109" t="s">
        <v>91</v>
      </c>
      <c r="H15" s="123" t="s">
        <v>219</v>
      </c>
    </row>
    <row r="16" spans="2:15" ht="30" x14ac:dyDescent="0.25">
      <c r="B16" s="36" t="s">
        <v>206</v>
      </c>
      <c r="C16" s="105" t="s">
        <v>171</v>
      </c>
      <c r="D16" s="125">
        <f>'Valoración de alternativas 2'!M18</f>
        <v>0.39113957307060754</v>
      </c>
      <c r="E16" s="125">
        <f>'Valoración de alternativas 2'!M40</f>
        <v>0.33336696484293737</v>
      </c>
      <c r="F16" s="125">
        <f>'Valoración de alternativas 2'!M62</f>
        <v>8.9322073334411251E-2</v>
      </c>
      <c r="G16" s="125">
        <f>'Valoración de alternativas 2'!M85</f>
        <v>0.35940526587000327</v>
      </c>
      <c r="H16" s="127" t="e">
        <f>SUMPRODUCT(D16:G16,$D$21:$G$21)</f>
        <v>#REF!</v>
      </c>
    </row>
    <row r="17" spans="1:29" ht="45" x14ac:dyDescent="0.25">
      <c r="B17" s="36" t="s">
        <v>207</v>
      </c>
      <c r="C17" s="105" t="s">
        <v>205</v>
      </c>
      <c r="D17" s="125">
        <f>'Valoración de alternativas 2'!M19</f>
        <v>0.1534909688013136</v>
      </c>
      <c r="E17" s="125">
        <f>'Valoración de alternativas 2'!M41</f>
        <v>9.0621489494487201E-2</v>
      </c>
      <c r="F17" s="125">
        <f>'Valoración de alternativas 2'!M63</f>
        <v>0.18680435124579356</v>
      </c>
      <c r="G17" s="125">
        <f>'Valoración de alternativas 2'!M86</f>
        <v>4.3439095570804206E-2</v>
      </c>
      <c r="H17" s="127" t="e">
        <f t="shared" ref="H17:H20" si="0">SUMPRODUCT(D17:G17,$D$21:$G$21)</f>
        <v>#REF!</v>
      </c>
      <c r="K17" s="242"/>
      <c r="L17" s="242"/>
    </row>
    <row r="18" spans="1:29" ht="45" x14ac:dyDescent="0.25">
      <c r="A18" s="3"/>
      <c r="B18" s="36" t="s">
        <v>208</v>
      </c>
      <c r="C18" s="105" t="s">
        <v>177</v>
      </c>
      <c r="D18" s="125">
        <f>'Valoración de alternativas 2'!M20</f>
        <v>8.7642036124794737E-2</v>
      </c>
      <c r="E18" s="125">
        <f>'Valoración de alternativas 2'!M42</f>
        <v>6.1602350738506326E-2</v>
      </c>
      <c r="F18" s="125">
        <f>'Valoración de alternativas 2'!M64</f>
        <v>0.47823398753544522</v>
      </c>
      <c r="G18" s="125">
        <f>'Valoración de alternativas 2'!M87</f>
        <v>0.14913427656019368</v>
      </c>
      <c r="H18" s="127" t="e">
        <f t="shared" si="0"/>
        <v>#REF!</v>
      </c>
      <c r="I18" s="3"/>
      <c r="J18" s="3"/>
      <c r="K18" s="242"/>
      <c r="L18" s="242"/>
      <c r="M18" s="3"/>
      <c r="N18" s="3"/>
      <c r="O18" s="3"/>
      <c r="P18" s="3"/>
      <c r="Q18" s="3"/>
      <c r="R18" s="3"/>
      <c r="S18" s="3"/>
      <c r="T18" s="3"/>
      <c r="U18" s="3"/>
      <c r="V18" s="3"/>
      <c r="W18" s="3"/>
      <c r="X18" s="3"/>
      <c r="Y18" s="3"/>
      <c r="Z18" s="3"/>
      <c r="AA18" s="3"/>
      <c r="AB18" s="3"/>
      <c r="AC18" s="3"/>
    </row>
    <row r="19" spans="1:29" ht="30" x14ac:dyDescent="0.25">
      <c r="A19" s="3"/>
      <c r="B19" s="36" t="s">
        <v>209</v>
      </c>
      <c r="C19" s="105" t="s">
        <v>182</v>
      </c>
      <c r="D19" s="125">
        <f>'Valoración de alternativas 2'!M21</f>
        <v>0.25652216748768475</v>
      </c>
      <c r="E19" s="125">
        <f>'Valoración de alternativas 2'!M43</f>
        <v>0.35271219055544001</v>
      </c>
      <c r="F19" s="125">
        <f>'Valoración de alternativas 2'!M65</f>
        <v>0.20008834499406972</v>
      </c>
      <c r="G19" s="125">
        <f>'Valoración de alternativas 2'!M88</f>
        <v>7.9329043042001585E-2</v>
      </c>
      <c r="H19" s="127" t="e">
        <f t="shared" si="0"/>
        <v>#REF!</v>
      </c>
      <c r="I19" s="3"/>
      <c r="J19" s="3"/>
      <c r="K19" s="3"/>
      <c r="L19" s="3"/>
      <c r="M19" s="3"/>
      <c r="N19" s="3"/>
      <c r="O19" s="3"/>
      <c r="P19" s="3"/>
      <c r="Q19" s="3"/>
      <c r="R19" s="3"/>
      <c r="S19" s="3"/>
      <c r="T19" s="3"/>
      <c r="U19" s="3"/>
      <c r="V19" s="3"/>
      <c r="W19" s="3"/>
      <c r="X19" s="3"/>
      <c r="Y19" s="3"/>
      <c r="Z19" s="3"/>
      <c r="AA19" s="3"/>
      <c r="AB19" s="3"/>
      <c r="AC19" s="3"/>
    </row>
    <row r="20" spans="1:29" ht="30" x14ac:dyDescent="0.25">
      <c r="A20" s="24"/>
      <c r="B20" s="36" t="s">
        <v>210</v>
      </c>
      <c r="C20" s="105" t="s">
        <v>183</v>
      </c>
      <c r="D20" s="125">
        <f>'Valoración de alternativas 2'!M22</f>
        <v>0.11120525451559933</v>
      </c>
      <c r="E20" s="125">
        <f>'Valoración de alternativas 2'!M44</f>
        <v>0.1616970043686291</v>
      </c>
      <c r="F20" s="125">
        <f>'Valoración de alternativas 2'!M66</f>
        <v>4.5551242890280133E-2</v>
      </c>
      <c r="G20" s="125">
        <f>'Valoración de alternativas 2'!M89</f>
        <v>0.36869231895699717</v>
      </c>
      <c r="H20" s="127" t="e">
        <f t="shared" si="0"/>
        <v>#REF!</v>
      </c>
      <c r="I20" s="24"/>
      <c r="J20" s="24"/>
      <c r="K20" s="24"/>
      <c r="L20" s="24"/>
      <c r="M20" s="24"/>
      <c r="N20" s="3"/>
      <c r="O20" s="3"/>
      <c r="P20" s="3"/>
      <c r="Q20" s="3"/>
      <c r="R20" s="3"/>
      <c r="S20" s="3"/>
      <c r="T20" s="3"/>
      <c r="U20" s="3"/>
      <c r="V20" s="3"/>
      <c r="W20" s="3"/>
      <c r="X20" s="3"/>
      <c r="Y20" s="3"/>
      <c r="Z20" s="3"/>
      <c r="AA20" s="3"/>
      <c r="AB20" s="3"/>
      <c r="AC20" s="3"/>
    </row>
    <row r="21" spans="1:29" ht="45" x14ac:dyDescent="0.25">
      <c r="A21" s="24"/>
      <c r="B21" s="120"/>
      <c r="C21" s="42" t="s">
        <v>220</v>
      </c>
      <c r="D21" s="126" t="e">
        <f>#REF!</f>
        <v>#REF!</v>
      </c>
      <c r="E21" s="126" t="e">
        <f>#REF!</f>
        <v>#REF!</v>
      </c>
      <c r="F21" s="126" t="e">
        <f>#REF!</f>
        <v>#REF!</v>
      </c>
      <c r="G21" s="126" t="e">
        <f>#REF!</f>
        <v>#REF!</v>
      </c>
      <c r="H21" s="243"/>
      <c r="I21" s="243"/>
      <c r="J21" s="243"/>
      <c r="K21" s="243"/>
      <c r="L21" s="243"/>
      <c r="M21" s="118"/>
      <c r="N21" s="3"/>
      <c r="O21" s="3"/>
      <c r="P21" s="3"/>
      <c r="Q21" s="3"/>
      <c r="R21" s="3"/>
      <c r="S21" s="3"/>
      <c r="T21" s="3"/>
      <c r="U21" s="3"/>
      <c r="V21" s="3"/>
      <c r="W21" s="3"/>
      <c r="X21" s="3"/>
      <c r="Y21" s="3"/>
      <c r="Z21" s="3"/>
      <c r="AA21" s="3"/>
      <c r="AB21" s="3"/>
      <c r="AC21" s="3"/>
    </row>
    <row r="22" spans="1:29" x14ac:dyDescent="0.25">
      <c r="A22" s="3"/>
      <c r="B22" s="118"/>
      <c r="C22" s="121"/>
      <c r="D22" s="122"/>
      <c r="E22" s="122"/>
      <c r="F22" s="122"/>
      <c r="G22" s="122"/>
      <c r="H22" s="122"/>
      <c r="I22" s="122"/>
      <c r="J22" s="122"/>
      <c r="K22" s="122"/>
      <c r="L22" s="122"/>
      <c r="M22" s="119"/>
      <c r="N22" s="3"/>
      <c r="O22" s="3"/>
      <c r="P22" s="3"/>
      <c r="Q22" s="3"/>
      <c r="R22" s="3"/>
      <c r="S22" s="3"/>
      <c r="T22" s="3"/>
      <c r="U22" s="3"/>
      <c r="V22" s="3"/>
      <c r="W22" s="3"/>
      <c r="X22" s="3"/>
      <c r="Y22" s="3"/>
      <c r="Z22" s="3"/>
      <c r="AA22" s="3"/>
      <c r="AB22" s="3"/>
      <c r="AC22" s="3"/>
    </row>
    <row r="23" spans="1:29" x14ac:dyDescent="0.25"/>
    <row r="24" spans="1:29" ht="34.5" x14ac:dyDescent="0.55000000000000004">
      <c r="B24" s="101" t="s">
        <v>202</v>
      </c>
      <c r="C24" s="81" t="s">
        <v>203</v>
      </c>
      <c r="D24" s="2"/>
      <c r="H24" s="5" t="s">
        <v>204</v>
      </c>
    </row>
    <row r="25" spans="1:29" ht="30" customHeight="1" x14ac:dyDescent="0.25">
      <c r="B25" s="79" t="s">
        <v>171</v>
      </c>
      <c r="C25" s="127" t="e">
        <f>SUMPRODUCT(D16:G16,$D$21:$G$21)</f>
        <v>#REF!</v>
      </c>
      <c r="H25" s="103">
        <v>1</v>
      </c>
      <c r="I25" s="102" t="e">
        <f>LARGE($C$25:$C$29,H25)</f>
        <v>#REF!</v>
      </c>
      <c r="J25" s="241" t="e">
        <f>IF(I25=$C$25,$B$25,IF(I25=$C$26,$B$26,IF(I25=$C$27,$B$27,IF(I25=$C$28,$B$28,$B$29))))</f>
        <v>#REF!</v>
      </c>
      <c r="K25" s="241"/>
      <c r="L25" s="241"/>
      <c r="N25" s="242" t="e">
        <f>"El mejor metodo desempeño ambiental para tu producto es"&amp;" "&amp;J25</f>
        <v>#REF!</v>
      </c>
      <c r="O25" s="242"/>
    </row>
    <row r="26" spans="1:29" ht="45" x14ac:dyDescent="0.25">
      <c r="B26" s="79" t="s">
        <v>175</v>
      </c>
      <c r="C26" s="127" t="e">
        <f t="shared" ref="C26:C29" si="1">SUMPRODUCT(D17:G17,$D$21:$G$21)</f>
        <v>#REF!</v>
      </c>
      <c r="H26" s="31">
        <v>2</v>
      </c>
      <c r="I26" s="102" t="e">
        <f t="shared" ref="I26:I29" si="2">LARGE($C$25:$C$29,H26)</f>
        <v>#REF!</v>
      </c>
      <c r="J26" s="241" t="e">
        <f t="shared" ref="J26:J29" si="3">IF(I26=$C$25,$B$25,IF(I26=$C$26,$B$26,IF(I26=$C$27,$B$27,IF(I26=$C$28,$B$28,$B$29))))</f>
        <v>#REF!</v>
      </c>
      <c r="K26" s="241"/>
      <c r="L26" s="241"/>
      <c r="N26" s="242"/>
      <c r="O26" s="242"/>
    </row>
    <row r="27" spans="1:29" ht="45" x14ac:dyDescent="0.25">
      <c r="B27" s="85" t="s">
        <v>177</v>
      </c>
      <c r="C27" s="127" t="e">
        <f t="shared" si="1"/>
        <v>#REF!</v>
      </c>
      <c r="H27" s="31">
        <v>3</v>
      </c>
      <c r="I27" s="102" t="e">
        <f t="shared" si="2"/>
        <v>#REF!</v>
      </c>
      <c r="J27" s="241" t="e">
        <f t="shared" si="3"/>
        <v>#REF!</v>
      </c>
      <c r="K27" s="241"/>
      <c r="L27" s="241"/>
    </row>
    <row r="28" spans="1:29" ht="45" x14ac:dyDescent="0.25">
      <c r="B28" s="85" t="s">
        <v>182</v>
      </c>
      <c r="C28" s="127" t="e">
        <f t="shared" si="1"/>
        <v>#REF!</v>
      </c>
      <c r="H28" s="31">
        <v>4</v>
      </c>
      <c r="I28" s="102" t="e">
        <f t="shared" si="2"/>
        <v>#REF!</v>
      </c>
      <c r="J28" s="241" t="e">
        <f t="shared" si="3"/>
        <v>#REF!</v>
      </c>
      <c r="K28" s="241"/>
      <c r="L28" s="241"/>
    </row>
    <row r="29" spans="1:29" ht="59.25" customHeight="1" x14ac:dyDescent="0.25">
      <c r="B29" s="85" t="s">
        <v>183</v>
      </c>
      <c r="C29" s="127" t="e">
        <f t="shared" si="1"/>
        <v>#REF!</v>
      </c>
      <c r="H29" s="31">
        <v>5</v>
      </c>
      <c r="I29" s="102" t="e">
        <f t="shared" si="2"/>
        <v>#REF!</v>
      </c>
      <c r="J29" s="241" t="e">
        <f t="shared" si="3"/>
        <v>#REF!</v>
      </c>
      <c r="K29" s="241"/>
      <c r="L29" s="241"/>
    </row>
    <row r="30" spans="1:29" x14ac:dyDescent="0.25"/>
    <row r="31" spans="1:29" x14ac:dyDescent="0.25"/>
  </sheetData>
  <mergeCells count="11">
    <mergeCell ref="J29:L29"/>
    <mergeCell ref="H21:L21"/>
    <mergeCell ref="K17:L18"/>
    <mergeCell ref="C3:O3"/>
    <mergeCell ref="C4:O10"/>
    <mergeCell ref="N25:O26"/>
    <mergeCell ref="J25:L25"/>
    <mergeCell ref="J26:L26"/>
    <mergeCell ref="J27:L27"/>
    <mergeCell ref="J28:L28"/>
    <mergeCell ref="C13:O13"/>
  </mergeCells>
  <conditionalFormatting sqref="C25:C29">
    <cfRule type="colorScale" priority="1">
      <colorScale>
        <cfvo type="min"/>
        <cfvo type="percentile" val="50"/>
        <cfvo type="max"/>
        <color rgb="FFF8696B"/>
        <color rgb="FFFFEB84"/>
        <color rgb="FF63BE7B"/>
      </colorScale>
    </cfRule>
  </conditionalFormatting>
  <conditionalFormatting sqref="D25:D29">
    <cfRule type="colorScale" priority="5">
      <colorScale>
        <cfvo type="min"/>
        <cfvo type="percentile" val="50"/>
        <cfvo type="max"/>
        <color rgb="FF63BE7B"/>
        <color rgb="FFFFEB84"/>
        <color rgb="FFF8696B"/>
      </colorScale>
    </cfRule>
  </conditionalFormatting>
  <conditionalFormatting sqref="H16:H20">
    <cfRule type="colorScale" priority="2">
      <colorScale>
        <cfvo type="min"/>
        <cfvo type="percentile" val="50"/>
        <cfvo type="max"/>
        <color rgb="FFF8696B"/>
        <color rgb="FFFFEB84"/>
        <color rgb="FF63BE7B"/>
      </colorScale>
    </cfRule>
  </conditionalFormatting>
  <conditionalFormatting sqref="H25:H29">
    <cfRule type="colorScale" priority="4">
      <colorScale>
        <cfvo type="min"/>
        <cfvo type="percentile" val="50"/>
        <cfvo type="max"/>
        <color rgb="FF63BE7B"/>
        <color rgb="FFFFEB84"/>
        <color rgb="FFF8696B"/>
      </colorScale>
    </cfRule>
  </conditionalFormatting>
  <conditionalFormatting sqref="M22">
    <cfRule type="colorScale" priority="19">
      <colorScale>
        <cfvo type="min"/>
        <cfvo type="percentile" val="50"/>
        <cfvo type="max"/>
        <color rgb="FFF8696B"/>
        <color rgb="FFFFEB84"/>
        <color rgb="FF63BE7B"/>
      </colorScale>
    </cfRule>
  </conditionalFormatting>
  <dataValidations disablePrompts="1" count="1">
    <dataValidation type="whole" operator="equal" allowBlank="1" showInputMessage="1" showErrorMessage="1" sqref="C22" xr:uid="{1E4B9112-DDED-4171-80FA-6B9AD2147E21}">
      <formula1>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6D2D8-DF97-44D8-B549-5FF95F4EAF9E}">
  <dimension ref="A1:P80"/>
  <sheetViews>
    <sheetView zoomScaleNormal="100" workbookViewId="0">
      <selection activeCell="B4" sqref="B4:O10"/>
    </sheetView>
  </sheetViews>
  <sheetFormatPr baseColWidth="10" defaultColWidth="0" defaultRowHeight="15" zeroHeight="1" x14ac:dyDescent="0.25"/>
  <cols>
    <col min="1" max="16" width="11.42578125" style="1" customWidth="1"/>
    <col min="17" max="16384" width="11.42578125" style="1" hidden="1"/>
  </cols>
  <sheetData>
    <row r="1" spans="1:16" ht="36.75" customHeight="1" x14ac:dyDescent="0.25"/>
    <row r="2" spans="1:16" ht="15.75" thickBot="1" x14ac:dyDescent="0.3"/>
    <row r="3" spans="1:16" ht="38.25" customHeight="1" thickBot="1" x14ac:dyDescent="0.3">
      <c r="B3" s="170" t="s">
        <v>57</v>
      </c>
      <c r="C3" s="171"/>
      <c r="D3" s="171"/>
      <c r="E3" s="171"/>
      <c r="F3" s="171"/>
      <c r="G3" s="171"/>
      <c r="H3" s="171"/>
      <c r="I3" s="171"/>
      <c r="J3" s="171"/>
      <c r="K3" s="171"/>
      <c r="L3" s="171"/>
      <c r="M3" s="171"/>
      <c r="N3" s="171"/>
      <c r="O3" s="172"/>
    </row>
    <row r="4" spans="1:16" ht="15" customHeight="1" x14ac:dyDescent="0.25">
      <c r="A4" s="185" t="s">
        <v>59</v>
      </c>
      <c r="B4" s="187" t="s">
        <v>235</v>
      </c>
      <c r="C4" s="188"/>
      <c r="D4" s="188"/>
      <c r="E4" s="188"/>
      <c r="F4" s="188"/>
      <c r="G4" s="188"/>
      <c r="H4" s="188"/>
      <c r="I4" s="188"/>
      <c r="J4" s="188"/>
      <c r="K4" s="188"/>
      <c r="L4" s="188"/>
      <c r="M4" s="188"/>
      <c r="N4" s="188"/>
      <c r="O4" s="189"/>
      <c r="P4" s="184" t="s">
        <v>221</v>
      </c>
    </row>
    <row r="5" spans="1:16" ht="15" customHeight="1" x14ac:dyDescent="0.25">
      <c r="A5" s="185"/>
      <c r="B5" s="190"/>
      <c r="C5" s="191"/>
      <c r="D5" s="191"/>
      <c r="E5" s="191"/>
      <c r="F5" s="191"/>
      <c r="G5" s="191"/>
      <c r="H5" s="191"/>
      <c r="I5" s="191"/>
      <c r="J5" s="191"/>
      <c r="K5" s="191"/>
      <c r="L5" s="191"/>
      <c r="M5" s="191"/>
      <c r="N5" s="191"/>
      <c r="O5" s="192"/>
      <c r="P5" s="184"/>
    </row>
    <row r="6" spans="1:16" ht="15" customHeight="1" x14ac:dyDescent="0.25">
      <c r="A6" s="185"/>
      <c r="B6" s="190"/>
      <c r="C6" s="191"/>
      <c r="D6" s="191"/>
      <c r="E6" s="191"/>
      <c r="F6" s="191"/>
      <c r="G6" s="191"/>
      <c r="H6" s="191"/>
      <c r="I6" s="191"/>
      <c r="J6" s="191"/>
      <c r="K6" s="191"/>
      <c r="L6" s="191"/>
      <c r="M6" s="191"/>
      <c r="N6" s="191"/>
      <c r="O6" s="192"/>
      <c r="P6" s="184"/>
    </row>
    <row r="7" spans="1:16" ht="15" customHeight="1" x14ac:dyDescent="0.25">
      <c r="A7" s="185"/>
      <c r="B7" s="190"/>
      <c r="C7" s="191"/>
      <c r="D7" s="191"/>
      <c r="E7" s="191"/>
      <c r="F7" s="191"/>
      <c r="G7" s="191"/>
      <c r="H7" s="191"/>
      <c r="I7" s="191"/>
      <c r="J7" s="191"/>
      <c r="K7" s="191"/>
      <c r="L7" s="191"/>
      <c r="M7" s="191"/>
      <c r="N7" s="191"/>
      <c r="O7" s="192"/>
      <c r="P7" s="184"/>
    </row>
    <row r="8" spans="1:16" ht="15" customHeight="1" x14ac:dyDescent="0.25">
      <c r="A8" s="185"/>
      <c r="B8" s="190"/>
      <c r="C8" s="191"/>
      <c r="D8" s="191"/>
      <c r="E8" s="191"/>
      <c r="F8" s="191"/>
      <c r="G8" s="191"/>
      <c r="H8" s="191"/>
      <c r="I8" s="191"/>
      <c r="J8" s="191"/>
      <c r="K8" s="191"/>
      <c r="L8" s="191"/>
      <c r="M8" s="191"/>
      <c r="N8" s="191"/>
      <c r="O8" s="192"/>
      <c r="P8" s="184"/>
    </row>
    <row r="9" spans="1:16" ht="15" customHeight="1" x14ac:dyDescent="0.25">
      <c r="A9" s="185"/>
      <c r="B9" s="190"/>
      <c r="C9" s="191"/>
      <c r="D9" s="191"/>
      <c r="E9" s="191"/>
      <c r="F9" s="191"/>
      <c r="G9" s="191"/>
      <c r="H9" s="191"/>
      <c r="I9" s="191"/>
      <c r="J9" s="191"/>
      <c r="K9" s="191"/>
      <c r="L9" s="191"/>
      <c r="M9" s="191"/>
      <c r="N9" s="191"/>
      <c r="O9" s="192"/>
      <c r="P9" s="184"/>
    </row>
    <row r="10" spans="1:16" ht="15.75" customHeight="1" thickBot="1" x14ac:dyDescent="0.3">
      <c r="A10" s="185"/>
      <c r="B10" s="193"/>
      <c r="C10" s="194"/>
      <c r="D10" s="194"/>
      <c r="E10" s="194"/>
      <c r="F10" s="194"/>
      <c r="G10" s="194"/>
      <c r="H10" s="194"/>
      <c r="I10" s="194"/>
      <c r="J10" s="194"/>
      <c r="K10" s="194"/>
      <c r="L10" s="194"/>
      <c r="M10" s="194"/>
      <c r="N10" s="194"/>
      <c r="O10" s="195"/>
      <c r="P10" s="184"/>
    </row>
    <row r="11" spans="1:16" x14ac:dyDescent="0.25">
      <c r="A11" s="186" t="s">
        <v>60</v>
      </c>
    </row>
    <row r="12" spans="1:16" x14ac:dyDescent="0.25">
      <c r="A12" s="186"/>
    </row>
    <row r="13" spans="1:16" x14ac:dyDescent="0.25">
      <c r="A13" s="186"/>
    </row>
    <row r="14" spans="1:16" x14ac:dyDescent="0.25">
      <c r="A14" s="186"/>
    </row>
    <row r="15" spans="1:16" x14ac:dyDescent="0.25">
      <c r="A15" s="186"/>
    </row>
    <row r="16" spans="1:16" x14ac:dyDescent="0.25">
      <c r="A16" s="186"/>
    </row>
    <row r="17" spans="1:1" x14ac:dyDescent="0.25">
      <c r="A17" s="186"/>
    </row>
    <row r="18" spans="1:1" x14ac:dyDescent="0.25">
      <c r="A18" s="186"/>
    </row>
    <row r="19" spans="1:1" x14ac:dyDescent="0.25">
      <c r="A19" s="186"/>
    </row>
    <row r="20" spans="1:1" x14ac:dyDescent="0.25">
      <c r="A20" s="186"/>
    </row>
    <row r="21" spans="1:1" x14ac:dyDescent="0.25">
      <c r="A21" s="186"/>
    </row>
    <row r="22" spans="1:1" x14ac:dyDescent="0.25">
      <c r="A22" s="186"/>
    </row>
    <row r="23" spans="1:1" x14ac:dyDescent="0.25">
      <c r="A23" s="186"/>
    </row>
    <row r="24" spans="1:1" x14ac:dyDescent="0.25">
      <c r="A24" s="186"/>
    </row>
    <row r="25" spans="1:1" x14ac:dyDescent="0.25">
      <c r="A25" s="186"/>
    </row>
    <row r="26" spans="1:1" x14ac:dyDescent="0.25">
      <c r="A26" s="186"/>
    </row>
    <row r="27" spans="1:1" x14ac:dyDescent="0.25">
      <c r="A27" s="186"/>
    </row>
    <row r="28" spans="1:1" x14ac:dyDescent="0.25">
      <c r="A28" s="186"/>
    </row>
    <row r="29" spans="1:1" x14ac:dyDescent="0.25">
      <c r="A29" s="186"/>
    </row>
    <row r="30" spans="1:1" x14ac:dyDescent="0.25">
      <c r="A30" s="186"/>
    </row>
    <row r="31" spans="1:1" x14ac:dyDescent="0.25">
      <c r="A31" s="186"/>
    </row>
    <row r="32" spans="1:1" x14ac:dyDescent="0.25">
      <c r="A32" s="186"/>
    </row>
    <row r="33" spans="1:15" x14ac:dyDescent="0.25">
      <c r="A33" s="186"/>
    </row>
    <row r="34" spans="1:15" x14ac:dyDescent="0.25">
      <c r="A34" s="186"/>
    </row>
    <row r="35" spans="1:15" x14ac:dyDescent="0.25">
      <c r="A35" s="186"/>
    </row>
    <row r="36" spans="1:15" x14ac:dyDescent="0.25">
      <c r="A36" s="186"/>
    </row>
    <row r="37" spans="1:15" ht="15.75" thickBot="1" x14ac:dyDescent="0.3">
      <c r="A37" s="186"/>
    </row>
    <row r="38" spans="1:15" ht="32.25" customHeight="1" thickBot="1" x14ac:dyDescent="0.3">
      <c r="B38" s="170" t="s">
        <v>1</v>
      </c>
      <c r="C38" s="171"/>
      <c r="D38" s="171"/>
      <c r="E38" s="171"/>
      <c r="F38" s="171"/>
      <c r="G38" s="171"/>
      <c r="H38" s="171"/>
      <c r="I38" s="171"/>
      <c r="J38" s="171"/>
      <c r="K38" s="171"/>
      <c r="L38" s="171"/>
      <c r="M38" s="171"/>
      <c r="N38" s="171"/>
      <c r="O38" s="172"/>
    </row>
    <row r="39" spans="1:15" ht="9.75" customHeight="1" x14ac:dyDescent="0.25">
      <c r="B39" s="22"/>
      <c r="C39" s="23"/>
      <c r="D39" s="23"/>
      <c r="E39" s="23"/>
      <c r="F39" s="23"/>
      <c r="G39" s="23"/>
      <c r="H39" s="23"/>
      <c r="I39" s="23"/>
      <c r="J39" s="23"/>
      <c r="K39" s="23"/>
      <c r="L39" s="23"/>
      <c r="M39" s="23"/>
      <c r="N39" s="23"/>
      <c r="O39" s="23"/>
    </row>
    <row r="40" spans="1:15" ht="15.75" x14ac:dyDescent="0.25">
      <c r="A40" s="4">
        <v>1</v>
      </c>
      <c r="B40" s="6" t="s">
        <v>2</v>
      </c>
      <c r="C40" s="7"/>
      <c r="D40" s="7"/>
      <c r="E40" s="7"/>
      <c r="F40" s="7"/>
      <c r="G40" s="7"/>
      <c r="H40" s="7"/>
      <c r="I40" s="7"/>
      <c r="J40" s="7"/>
      <c r="K40" s="7"/>
      <c r="L40" s="7"/>
      <c r="M40" s="7"/>
      <c r="N40" s="7"/>
      <c r="O40" s="7"/>
    </row>
    <row r="41" spans="1:15" x14ac:dyDescent="0.25">
      <c r="B41" s="8">
        <v>1</v>
      </c>
      <c r="C41" s="9" t="s">
        <v>3</v>
      </c>
      <c r="D41" s="8"/>
      <c r="E41" s="8"/>
      <c r="F41" s="8"/>
      <c r="G41" s="8"/>
      <c r="H41" s="8"/>
      <c r="I41" s="8"/>
      <c r="J41" s="8"/>
      <c r="K41" s="8"/>
      <c r="L41" s="8"/>
      <c r="M41" s="8"/>
      <c r="N41" s="8"/>
      <c r="O41" s="8"/>
    </row>
    <row r="42" spans="1:15" x14ac:dyDescent="0.25">
      <c r="B42" s="8">
        <v>2</v>
      </c>
      <c r="C42" s="9" t="s">
        <v>4</v>
      </c>
      <c r="D42" s="8"/>
      <c r="E42" s="8"/>
      <c r="F42" s="8"/>
      <c r="G42" s="8"/>
      <c r="H42" s="8"/>
      <c r="I42" s="8"/>
      <c r="J42" s="8"/>
      <c r="K42" s="8"/>
      <c r="L42" s="8"/>
      <c r="M42" s="8"/>
      <c r="N42" s="8"/>
      <c r="O42" s="8"/>
    </row>
    <row r="43" spans="1:15" x14ac:dyDescent="0.25">
      <c r="B43" s="8">
        <v>3</v>
      </c>
      <c r="C43" s="9" t="s">
        <v>5</v>
      </c>
      <c r="D43" s="8"/>
      <c r="E43" s="8"/>
      <c r="F43" s="8"/>
      <c r="G43" s="8"/>
      <c r="H43" s="8"/>
      <c r="I43" s="8"/>
      <c r="J43" s="8"/>
      <c r="K43" s="8"/>
      <c r="L43" s="8"/>
      <c r="M43" s="8"/>
      <c r="N43" s="8"/>
      <c r="O43" s="8"/>
    </row>
    <row r="44" spans="1:15" x14ac:dyDescent="0.25">
      <c r="B44" s="8">
        <v>4</v>
      </c>
      <c r="C44" s="9" t="s">
        <v>6</v>
      </c>
      <c r="D44" s="8"/>
      <c r="E44" s="8"/>
      <c r="F44" s="8"/>
      <c r="G44" s="8"/>
      <c r="H44" s="8"/>
      <c r="I44" s="8"/>
      <c r="J44" s="8"/>
      <c r="K44" s="8"/>
      <c r="L44" s="8"/>
      <c r="M44" s="8"/>
      <c r="N44" s="8"/>
      <c r="O44" s="8"/>
    </row>
    <row r="45" spans="1:15" x14ac:dyDescent="0.25">
      <c r="B45" s="8">
        <v>5</v>
      </c>
      <c r="C45" s="9" t="s">
        <v>7</v>
      </c>
      <c r="D45" s="8"/>
      <c r="E45" s="8"/>
      <c r="F45" s="8"/>
      <c r="G45" s="8"/>
      <c r="H45" s="8"/>
      <c r="I45" s="8"/>
      <c r="J45" s="8"/>
      <c r="K45" s="8"/>
      <c r="L45" s="8"/>
      <c r="M45" s="8"/>
      <c r="N45" s="8"/>
      <c r="O45" s="8"/>
    </row>
    <row r="46" spans="1:15" x14ac:dyDescent="0.25">
      <c r="B46" s="8">
        <v>6</v>
      </c>
      <c r="C46" s="9" t="s">
        <v>8</v>
      </c>
      <c r="D46" s="8"/>
      <c r="E46" s="8"/>
      <c r="F46" s="8"/>
      <c r="G46" s="8"/>
      <c r="H46" s="8"/>
      <c r="I46" s="8"/>
      <c r="J46" s="8"/>
      <c r="K46" s="8"/>
      <c r="L46" s="8"/>
      <c r="M46" s="8"/>
      <c r="N46" s="8"/>
      <c r="O46" s="8"/>
    </row>
    <row r="47" spans="1:15" x14ac:dyDescent="0.25">
      <c r="B47" s="8">
        <v>7</v>
      </c>
      <c r="C47" s="9" t="s">
        <v>9</v>
      </c>
      <c r="D47" s="8"/>
      <c r="E47" s="8"/>
      <c r="F47" s="8"/>
      <c r="G47" s="8"/>
      <c r="H47" s="8"/>
      <c r="I47" s="8"/>
      <c r="J47" s="8"/>
      <c r="K47" s="8"/>
      <c r="L47" s="8"/>
      <c r="M47" s="8"/>
      <c r="N47" s="8"/>
      <c r="O47" s="8"/>
    </row>
    <row r="48" spans="1:15" x14ac:dyDescent="0.25">
      <c r="B48" s="8">
        <v>8</v>
      </c>
      <c r="C48" s="9" t="s">
        <v>10</v>
      </c>
      <c r="D48" s="8"/>
      <c r="E48" s="8"/>
      <c r="F48" s="8"/>
      <c r="G48" s="8"/>
      <c r="H48" s="8"/>
      <c r="I48" s="8"/>
      <c r="J48" s="8"/>
      <c r="K48" s="8"/>
      <c r="L48" s="8"/>
      <c r="M48" s="8"/>
      <c r="N48" s="8"/>
      <c r="O48" s="8"/>
    </row>
    <row r="49" spans="1:15" x14ac:dyDescent="0.25">
      <c r="B49" s="8">
        <v>9</v>
      </c>
      <c r="C49" s="9" t="s">
        <v>11</v>
      </c>
      <c r="D49" s="8"/>
      <c r="E49" s="8"/>
      <c r="F49" s="8"/>
      <c r="G49" s="8"/>
      <c r="H49" s="8"/>
      <c r="I49" s="8"/>
      <c r="J49" s="8"/>
      <c r="K49" s="8"/>
      <c r="L49" s="8"/>
      <c r="M49" s="8"/>
      <c r="N49" s="8"/>
      <c r="O49" s="8"/>
    </row>
    <row r="50" spans="1:15" x14ac:dyDescent="0.25">
      <c r="B50" s="8">
        <v>10</v>
      </c>
      <c r="C50" s="9" t="s">
        <v>12</v>
      </c>
      <c r="D50" s="8"/>
      <c r="E50" s="8"/>
      <c r="F50" s="8"/>
      <c r="G50" s="8"/>
      <c r="H50" s="8"/>
      <c r="I50" s="8"/>
      <c r="J50" s="8"/>
      <c r="K50" s="8"/>
      <c r="L50" s="8"/>
      <c r="M50" s="8"/>
      <c r="N50" s="8"/>
      <c r="O50" s="8"/>
    </row>
    <row r="51" spans="1:15" x14ac:dyDescent="0.25">
      <c r="B51" s="8">
        <v>11</v>
      </c>
      <c r="C51" s="9" t="s">
        <v>13</v>
      </c>
      <c r="D51" s="8"/>
      <c r="E51" s="8"/>
      <c r="F51" s="8"/>
      <c r="G51" s="8"/>
      <c r="H51" s="8"/>
      <c r="I51" s="8"/>
      <c r="J51" s="8"/>
      <c r="K51" s="8"/>
      <c r="L51" s="8"/>
      <c r="M51" s="8"/>
      <c r="N51" s="8"/>
      <c r="O51" s="8"/>
    </row>
    <row r="52" spans="1:15" x14ac:dyDescent="0.25">
      <c r="B52" s="8">
        <v>12</v>
      </c>
      <c r="C52" s="9" t="s">
        <v>14</v>
      </c>
      <c r="D52" s="8"/>
      <c r="E52" s="8"/>
      <c r="F52" s="8"/>
      <c r="G52" s="8"/>
      <c r="H52" s="8"/>
      <c r="I52" s="8"/>
      <c r="J52" s="8"/>
      <c r="K52" s="8"/>
      <c r="L52" s="8"/>
      <c r="M52" s="8"/>
      <c r="N52" s="8"/>
      <c r="O52" s="8"/>
    </row>
    <row r="53" spans="1:15" x14ac:dyDescent="0.25">
      <c r="B53" s="8">
        <v>13</v>
      </c>
      <c r="C53" s="9" t="s">
        <v>15</v>
      </c>
      <c r="D53" s="8"/>
      <c r="E53" s="8"/>
      <c r="F53" s="8"/>
      <c r="G53" s="8"/>
      <c r="H53" s="8"/>
      <c r="I53" s="8"/>
      <c r="J53" s="8"/>
      <c r="K53" s="8"/>
      <c r="L53" s="8"/>
      <c r="M53" s="8"/>
      <c r="N53" s="8"/>
      <c r="O53" s="8"/>
    </row>
    <row r="54" spans="1:15" x14ac:dyDescent="0.25">
      <c r="B54" s="8">
        <v>14</v>
      </c>
      <c r="C54" s="9" t="s">
        <v>16</v>
      </c>
      <c r="D54" s="8"/>
      <c r="E54" s="8"/>
      <c r="F54" s="8"/>
      <c r="G54" s="8"/>
      <c r="H54" s="8"/>
      <c r="I54" s="8"/>
      <c r="J54" s="8"/>
      <c r="K54" s="8"/>
      <c r="L54" s="8"/>
      <c r="M54" s="8"/>
      <c r="N54" s="8"/>
      <c r="O54" s="8"/>
    </row>
    <row r="55" spans="1:15" x14ac:dyDescent="0.25">
      <c r="B55" s="8">
        <v>15</v>
      </c>
      <c r="C55" s="9" t="s">
        <v>17</v>
      </c>
      <c r="D55" s="8"/>
      <c r="E55" s="8"/>
      <c r="F55" s="8"/>
      <c r="G55" s="8"/>
      <c r="H55" s="8"/>
      <c r="I55" s="8"/>
      <c r="J55" s="8"/>
      <c r="K55" s="8"/>
      <c r="L55" s="8"/>
      <c r="M55" s="8"/>
      <c r="N55" s="8"/>
      <c r="O55" s="8"/>
    </row>
    <row r="56" spans="1:15" x14ac:dyDescent="0.25">
      <c r="B56" s="8">
        <v>16</v>
      </c>
      <c r="C56" s="9" t="s">
        <v>18</v>
      </c>
      <c r="D56" s="8"/>
      <c r="E56" s="8"/>
      <c r="F56" s="8"/>
      <c r="G56" s="8"/>
      <c r="H56" s="8"/>
      <c r="I56" s="8"/>
      <c r="J56" s="8"/>
      <c r="K56" s="8"/>
      <c r="L56" s="8"/>
      <c r="M56" s="8"/>
      <c r="N56" s="8"/>
      <c r="O56" s="8"/>
    </row>
    <row r="57" spans="1:15" x14ac:dyDescent="0.25"/>
    <row r="58" spans="1:15" ht="15.75" x14ac:dyDescent="0.25">
      <c r="A58" s="4">
        <v>2</v>
      </c>
      <c r="B58" s="12" t="s">
        <v>19</v>
      </c>
      <c r="C58" s="13"/>
      <c r="D58" s="13"/>
      <c r="E58" s="13"/>
      <c r="F58" s="13"/>
      <c r="G58" s="13"/>
      <c r="H58" s="13"/>
      <c r="I58" s="13"/>
      <c r="J58" s="13"/>
      <c r="K58" s="13"/>
      <c r="L58" s="13"/>
      <c r="M58" s="13"/>
      <c r="N58" s="13"/>
      <c r="O58" s="13"/>
    </row>
    <row r="59" spans="1:15" x14ac:dyDescent="0.25">
      <c r="B59" s="10">
        <v>17</v>
      </c>
      <c r="C59" s="11" t="s">
        <v>20</v>
      </c>
      <c r="D59" s="10"/>
      <c r="E59" s="10"/>
      <c r="F59" s="10"/>
      <c r="G59" s="10"/>
      <c r="H59" s="10"/>
      <c r="I59" s="10"/>
      <c r="J59" s="10"/>
      <c r="K59" s="10"/>
      <c r="L59" s="10"/>
      <c r="M59" s="10"/>
      <c r="N59" s="10"/>
      <c r="O59" s="10"/>
    </row>
    <row r="60" spans="1:15" x14ac:dyDescent="0.25">
      <c r="B60" s="10">
        <v>18</v>
      </c>
      <c r="C60" s="11" t="s">
        <v>21</v>
      </c>
      <c r="D60" s="10"/>
      <c r="E60" s="10"/>
      <c r="F60" s="10"/>
      <c r="G60" s="10"/>
      <c r="H60" s="10"/>
      <c r="I60" s="10"/>
      <c r="J60" s="10"/>
      <c r="K60" s="10"/>
      <c r="L60" s="10"/>
      <c r="M60" s="10"/>
      <c r="N60" s="10"/>
      <c r="O60" s="10"/>
    </row>
    <row r="61" spans="1:15" x14ac:dyDescent="0.25">
      <c r="B61" s="10">
        <v>19</v>
      </c>
      <c r="C61" s="11" t="s">
        <v>33</v>
      </c>
      <c r="D61" s="10"/>
      <c r="E61" s="10"/>
      <c r="F61" s="10"/>
      <c r="G61" s="10"/>
      <c r="H61" s="10"/>
      <c r="I61" s="10"/>
      <c r="J61" s="10"/>
      <c r="K61" s="10"/>
      <c r="L61" s="10"/>
      <c r="M61" s="10"/>
      <c r="N61" s="10"/>
      <c r="O61" s="10"/>
    </row>
    <row r="62" spans="1:15" x14ac:dyDescent="0.25"/>
    <row r="63" spans="1:15" ht="15.75" x14ac:dyDescent="0.25">
      <c r="A63" s="4">
        <v>3</v>
      </c>
      <c r="B63" s="14" t="s">
        <v>22</v>
      </c>
      <c r="C63" s="15"/>
      <c r="D63" s="15"/>
      <c r="E63" s="15"/>
      <c r="F63" s="15"/>
      <c r="G63" s="15"/>
      <c r="H63" s="15"/>
      <c r="I63" s="15"/>
      <c r="J63" s="15"/>
      <c r="K63" s="15"/>
      <c r="L63" s="15"/>
      <c r="M63" s="15"/>
      <c r="N63" s="15"/>
      <c r="O63" s="15"/>
    </row>
    <row r="64" spans="1:15" x14ac:dyDescent="0.25">
      <c r="B64" s="16">
        <v>20</v>
      </c>
      <c r="C64" s="17" t="s">
        <v>23</v>
      </c>
      <c r="D64" s="16"/>
      <c r="E64" s="16"/>
      <c r="F64" s="16"/>
      <c r="G64" s="16"/>
      <c r="H64" s="16"/>
      <c r="I64" s="16"/>
      <c r="J64" s="16"/>
      <c r="K64" s="16"/>
      <c r="L64" s="16"/>
      <c r="M64" s="16"/>
      <c r="N64" s="16"/>
      <c r="O64" s="16"/>
    </row>
    <row r="65" spans="1:15" x14ac:dyDescent="0.25">
      <c r="B65" s="16">
        <v>21</v>
      </c>
      <c r="C65" s="17" t="s">
        <v>24</v>
      </c>
      <c r="D65" s="16"/>
      <c r="E65" s="16"/>
      <c r="F65" s="16"/>
      <c r="G65" s="16"/>
      <c r="H65" s="16"/>
      <c r="I65" s="16"/>
      <c r="J65" s="16"/>
      <c r="K65" s="16"/>
      <c r="L65" s="16"/>
      <c r="M65" s="16"/>
      <c r="N65" s="16"/>
      <c r="O65" s="16"/>
    </row>
    <row r="66" spans="1:15" x14ac:dyDescent="0.25">
      <c r="B66" s="16">
        <v>22</v>
      </c>
      <c r="C66" s="17" t="s">
        <v>25</v>
      </c>
      <c r="D66" s="16"/>
      <c r="E66" s="16"/>
      <c r="F66" s="16"/>
      <c r="G66" s="16"/>
      <c r="H66" s="16"/>
      <c r="I66" s="16"/>
      <c r="J66" s="16"/>
      <c r="K66" s="16"/>
      <c r="L66" s="16"/>
      <c r="M66" s="16"/>
      <c r="N66" s="16"/>
      <c r="O66" s="16"/>
    </row>
    <row r="67" spans="1:15" x14ac:dyDescent="0.25">
      <c r="B67" s="16">
        <v>23</v>
      </c>
      <c r="C67" s="17" t="s">
        <v>26</v>
      </c>
      <c r="D67" s="16"/>
      <c r="E67" s="16"/>
      <c r="F67" s="16"/>
      <c r="G67" s="16"/>
      <c r="H67" s="16"/>
      <c r="I67" s="16"/>
      <c r="J67" s="16"/>
      <c r="K67" s="16"/>
      <c r="L67" s="16"/>
      <c r="M67" s="16"/>
      <c r="N67" s="16"/>
      <c r="O67" s="16"/>
    </row>
    <row r="68" spans="1:15" x14ac:dyDescent="0.25">
      <c r="B68" s="16">
        <v>24</v>
      </c>
      <c r="C68" s="17" t="s">
        <v>27</v>
      </c>
      <c r="D68" s="16"/>
      <c r="E68" s="16"/>
      <c r="F68" s="16"/>
      <c r="G68" s="16"/>
      <c r="H68" s="16"/>
      <c r="I68" s="16"/>
      <c r="J68" s="16"/>
      <c r="K68" s="16"/>
      <c r="L68" s="16"/>
      <c r="M68" s="16"/>
      <c r="N68" s="16"/>
      <c r="O68" s="16"/>
    </row>
    <row r="69" spans="1:15" x14ac:dyDescent="0.25">
      <c r="B69" s="16">
        <v>25</v>
      </c>
      <c r="C69" s="17" t="s">
        <v>28</v>
      </c>
      <c r="D69" s="16"/>
      <c r="E69" s="16"/>
      <c r="F69" s="16"/>
      <c r="G69" s="16"/>
      <c r="H69" s="16"/>
      <c r="I69" s="16"/>
      <c r="J69" s="16"/>
      <c r="K69" s="16"/>
      <c r="L69" s="16"/>
      <c r="M69" s="16"/>
      <c r="N69" s="16"/>
      <c r="O69" s="16"/>
    </row>
    <row r="70" spans="1:15" x14ac:dyDescent="0.25"/>
    <row r="71" spans="1:15" ht="15.75" x14ac:dyDescent="0.25">
      <c r="A71" s="4">
        <v>4</v>
      </c>
      <c r="B71" s="18" t="s">
        <v>29</v>
      </c>
      <c r="C71" s="19"/>
      <c r="D71" s="19"/>
      <c r="E71" s="19"/>
      <c r="F71" s="19"/>
      <c r="G71" s="19"/>
      <c r="H71" s="19"/>
      <c r="I71" s="19"/>
      <c r="J71" s="19"/>
      <c r="K71" s="19"/>
      <c r="L71" s="19"/>
      <c r="M71" s="19"/>
      <c r="N71" s="19"/>
      <c r="O71" s="19"/>
    </row>
    <row r="72" spans="1:15" x14ac:dyDescent="0.25">
      <c r="B72" s="20">
        <v>26</v>
      </c>
      <c r="C72" s="21" t="s">
        <v>30</v>
      </c>
      <c r="D72" s="20"/>
      <c r="E72" s="20"/>
      <c r="F72" s="20"/>
      <c r="G72" s="20"/>
      <c r="H72" s="20"/>
      <c r="I72" s="20"/>
      <c r="J72" s="20"/>
      <c r="K72" s="20"/>
      <c r="L72" s="20"/>
      <c r="M72" s="20"/>
      <c r="N72" s="20"/>
      <c r="O72" s="20"/>
    </row>
    <row r="73" spans="1:15" x14ac:dyDescent="0.25">
      <c r="B73" s="20">
        <v>27</v>
      </c>
      <c r="C73" s="21" t="s">
        <v>31</v>
      </c>
      <c r="D73" s="20"/>
      <c r="E73" s="20"/>
      <c r="F73" s="20"/>
      <c r="G73" s="20"/>
      <c r="H73" s="20"/>
      <c r="I73" s="20"/>
      <c r="J73" s="20"/>
      <c r="K73" s="20"/>
      <c r="L73" s="20"/>
      <c r="M73" s="20"/>
      <c r="N73" s="20"/>
      <c r="O73" s="20"/>
    </row>
    <row r="74" spans="1:15" x14ac:dyDescent="0.25">
      <c r="B74" s="20">
        <v>28</v>
      </c>
      <c r="C74" s="21" t="s">
        <v>32</v>
      </c>
      <c r="D74" s="20"/>
      <c r="E74" s="20"/>
      <c r="F74" s="20"/>
      <c r="G74" s="20"/>
      <c r="H74" s="20"/>
      <c r="I74" s="20"/>
      <c r="J74" s="20"/>
      <c r="K74" s="20"/>
      <c r="L74" s="20"/>
      <c r="M74" s="20"/>
      <c r="N74" s="20"/>
      <c r="O74" s="20"/>
    </row>
    <row r="75" spans="1:15" ht="14.25" hidden="1" customHeight="1" x14ac:dyDescent="0.25"/>
    <row r="76" spans="1:15" ht="14.25" customHeight="1" x14ac:dyDescent="0.25"/>
    <row r="77" spans="1:15" ht="14.25" customHeight="1" x14ac:dyDescent="0.25"/>
    <row r="78" spans="1:15" ht="14.25" customHeight="1" x14ac:dyDescent="0.25"/>
    <row r="79" spans="1:15" ht="14.25" customHeight="1" x14ac:dyDescent="0.25"/>
    <row r="80" spans="1:15" x14ac:dyDescent="0.25"/>
  </sheetData>
  <sheetProtection algorithmName="SHA-512" hashValue="5NItT4QXd8DPGlVuklfpzT4CAB8rcbmBRA+sA1hQYqZgWq8ax1gVsVq0WjRMDDm7oGi3CeQIQZvfzc3RW8647g==" saltValue="rjE+ifnjwXzzJP8Gm+Ydyw==" spinCount="100000" sheet="1" objects="1" scenarios="1"/>
  <mergeCells count="6">
    <mergeCell ref="B38:O38"/>
    <mergeCell ref="P4:P10"/>
    <mergeCell ref="B3:O3"/>
    <mergeCell ref="A4:A10"/>
    <mergeCell ref="A11:A37"/>
    <mergeCell ref="B4:O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46640-45DC-4665-9D34-77B77319E4E0}">
  <dimension ref="A1:XFD245"/>
  <sheetViews>
    <sheetView topLeftCell="A180" zoomScale="80" zoomScaleNormal="80" workbookViewId="0">
      <selection activeCell="H193" sqref="H193"/>
    </sheetView>
  </sheetViews>
  <sheetFormatPr baseColWidth="10" defaultColWidth="11.42578125" defaultRowHeight="15" customHeight="1" zeroHeight="1" x14ac:dyDescent="0.25"/>
  <cols>
    <col min="1" max="1" width="3.28515625" style="24" customWidth="1"/>
    <col min="2" max="2" width="14.85546875" style="24" customWidth="1"/>
    <col min="3" max="3" width="21.5703125" style="24" customWidth="1"/>
    <col min="4" max="4" width="16.5703125" style="24" customWidth="1"/>
    <col min="5" max="5" width="17.5703125" style="24" customWidth="1"/>
    <col min="6" max="6" width="14.85546875" style="24" customWidth="1"/>
    <col min="7" max="7" width="11.42578125" style="24" customWidth="1"/>
    <col min="8" max="8" width="12.5703125" style="24" bestFit="1" customWidth="1"/>
    <col min="9" max="9" width="13.42578125" style="24" customWidth="1"/>
    <col min="10" max="10" width="13.5703125" style="24" bestFit="1" customWidth="1"/>
    <col min="11" max="11" width="14.7109375" style="24" customWidth="1"/>
    <col min="12" max="12" width="13.5703125" style="24" bestFit="1" customWidth="1"/>
    <col min="13" max="13" width="17.85546875" style="24" bestFit="1" customWidth="1"/>
    <col min="14" max="14" width="14.5703125" style="24" customWidth="1"/>
    <col min="15" max="15" width="12.5703125" style="24" customWidth="1"/>
    <col min="16" max="18" width="11.42578125" style="24" customWidth="1"/>
    <col min="19" max="19" width="16.42578125" style="24" customWidth="1"/>
    <col min="20" max="20" width="11.42578125" style="24"/>
    <col min="21" max="16383" width="0" style="24" hidden="1" customWidth="1"/>
    <col min="16384" max="16384" width="11.42578125" style="24"/>
  </cols>
  <sheetData>
    <row r="1" spans="3:16" x14ac:dyDescent="0.25"/>
    <row r="2" spans="3:16" ht="15.75" thickBot="1" x14ac:dyDescent="0.3"/>
    <row r="3" spans="3:16" ht="33.75" customHeight="1" thickBot="1" x14ac:dyDescent="0.3">
      <c r="C3" s="170" t="s">
        <v>62</v>
      </c>
      <c r="D3" s="198"/>
      <c r="E3" s="198"/>
      <c r="F3" s="198"/>
      <c r="G3" s="198"/>
      <c r="H3" s="198"/>
      <c r="I3" s="198"/>
      <c r="J3" s="198"/>
      <c r="K3" s="198"/>
      <c r="L3" s="198"/>
      <c r="M3" s="198"/>
      <c r="N3" s="198"/>
      <c r="O3" s="198"/>
      <c r="P3" s="199"/>
    </row>
    <row r="4" spans="3:16" x14ac:dyDescent="0.25">
      <c r="C4" s="187" t="s">
        <v>58</v>
      </c>
      <c r="D4" s="200"/>
      <c r="E4" s="200"/>
      <c r="F4" s="200"/>
      <c r="G4" s="200"/>
      <c r="H4" s="200"/>
      <c r="I4" s="200"/>
      <c r="J4" s="200"/>
      <c r="K4" s="200"/>
      <c r="L4" s="200"/>
      <c r="M4" s="200"/>
      <c r="N4" s="200"/>
      <c r="O4" s="200"/>
      <c r="P4" s="201"/>
    </row>
    <row r="5" spans="3:16" x14ac:dyDescent="0.25">
      <c r="C5" s="202"/>
      <c r="D5" s="203"/>
      <c r="E5" s="203"/>
      <c r="F5" s="203"/>
      <c r="G5" s="203"/>
      <c r="H5" s="203"/>
      <c r="I5" s="203"/>
      <c r="J5" s="203"/>
      <c r="K5" s="203"/>
      <c r="L5" s="203"/>
      <c r="M5" s="203"/>
      <c r="N5" s="203"/>
      <c r="O5" s="203"/>
      <c r="P5" s="204"/>
    </row>
    <row r="6" spans="3:16" x14ac:dyDescent="0.25">
      <c r="C6" s="202"/>
      <c r="D6" s="203"/>
      <c r="E6" s="203"/>
      <c r="F6" s="203"/>
      <c r="G6" s="203"/>
      <c r="H6" s="203"/>
      <c r="I6" s="203"/>
      <c r="J6" s="203"/>
      <c r="K6" s="203"/>
      <c r="L6" s="203"/>
      <c r="M6" s="203"/>
      <c r="N6" s="203"/>
      <c r="O6" s="203"/>
      <c r="P6" s="204"/>
    </row>
    <row r="7" spans="3:16" x14ac:dyDescent="0.25">
      <c r="C7" s="202"/>
      <c r="D7" s="203"/>
      <c r="E7" s="203"/>
      <c r="F7" s="203"/>
      <c r="G7" s="203"/>
      <c r="H7" s="203"/>
      <c r="I7" s="203"/>
      <c r="J7" s="203"/>
      <c r="K7" s="203"/>
      <c r="L7" s="203"/>
      <c r="M7" s="203"/>
      <c r="N7" s="203"/>
      <c r="O7" s="203"/>
      <c r="P7" s="204"/>
    </row>
    <row r="8" spans="3:16" x14ac:dyDescent="0.25">
      <c r="C8" s="202"/>
      <c r="D8" s="203"/>
      <c r="E8" s="203"/>
      <c r="F8" s="203"/>
      <c r="G8" s="203"/>
      <c r="H8" s="203"/>
      <c r="I8" s="203"/>
      <c r="J8" s="203"/>
      <c r="K8" s="203"/>
      <c r="L8" s="203"/>
      <c r="M8" s="203"/>
      <c r="N8" s="203"/>
      <c r="O8" s="203"/>
      <c r="P8" s="204"/>
    </row>
    <row r="9" spans="3:16" x14ac:dyDescent="0.25">
      <c r="C9" s="202"/>
      <c r="D9" s="203"/>
      <c r="E9" s="203"/>
      <c r="F9" s="203"/>
      <c r="G9" s="203"/>
      <c r="H9" s="203"/>
      <c r="I9" s="203"/>
      <c r="J9" s="203"/>
      <c r="K9" s="203"/>
      <c r="L9" s="203"/>
      <c r="M9" s="203"/>
      <c r="N9" s="203"/>
      <c r="O9" s="203"/>
      <c r="P9" s="204"/>
    </row>
    <row r="10" spans="3:16" ht="15.75" thickBot="1" x14ac:dyDescent="0.3">
      <c r="C10" s="205"/>
      <c r="D10" s="206"/>
      <c r="E10" s="206"/>
      <c r="F10" s="206"/>
      <c r="G10" s="206"/>
      <c r="H10" s="206"/>
      <c r="I10" s="206"/>
      <c r="J10" s="206"/>
      <c r="K10" s="206"/>
      <c r="L10" s="206"/>
      <c r="M10" s="206"/>
      <c r="N10" s="206"/>
      <c r="O10" s="206"/>
      <c r="P10" s="207"/>
    </row>
    <row r="11" spans="3:16" x14ac:dyDescent="0.25"/>
    <row r="12" spans="3:16" ht="21" x14ac:dyDescent="0.35">
      <c r="C12" s="26" t="s">
        <v>80</v>
      </c>
    </row>
    <row r="13" spans="3:16" x14ac:dyDescent="0.25">
      <c r="C13" s="3">
        <v>1</v>
      </c>
      <c r="D13" s="24" t="s">
        <v>82</v>
      </c>
    </row>
    <row r="14" spans="3:16" ht="21" x14ac:dyDescent="0.35">
      <c r="C14" s="3">
        <v>2</v>
      </c>
      <c r="D14" s="24" t="s">
        <v>83</v>
      </c>
    </row>
    <row r="15" spans="3:16" x14ac:dyDescent="0.25">
      <c r="C15" s="3">
        <v>3</v>
      </c>
      <c r="D15" s="24" t="s">
        <v>81</v>
      </c>
    </row>
    <row r="16" spans="3:16" x14ac:dyDescent="0.25"/>
    <row r="17" spans="2:16" ht="15.75" thickBot="1" x14ac:dyDescent="0.3">
      <c r="B17" s="3">
        <v>1</v>
      </c>
      <c r="C17" s="24" t="s">
        <v>79</v>
      </c>
    </row>
    <row r="18" spans="2:16" ht="15.75" thickBot="1" x14ac:dyDescent="0.3">
      <c r="C18" s="208" t="s">
        <v>61</v>
      </c>
      <c r="D18" s="198"/>
      <c r="E18" s="198"/>
      <c r="F18" s="198"/>
      <c r="G18" s="198"/>
      <c r="H18" s="198"/>
      <c r="I18" s="198"/>
      <c r="J18" s="198"/>
      <c r="K18" s="198"/>
      <c r="L18" s="198"/>
      <c r="M18" s="198"/>
      <c r="N18" s="198"/>
      <c r="O18" s="198"/>
      <c r="P18" s="199"/>
    </row>
    <row r="19" spans="2:16" ht="15.75" thickBot="1" x14ac:dyDescent="0.3">
      <c r="C19" s="209" t="s">
        <v>63</v>
      </c>
      <c r="D19" s="209"/>
      <c r="E19" s="209"/>
      <c r="F19" s="209"/>
      <c r="G19" s="25" t="s">
        <v>64</v>
      </c>
      <c r="H19" s="25"/>
      <c r="I19" s="25"/>
      <c r="J19" s="25"/>
      <c r="K19" s="25"/>
      <c r="L19" s="25"/>
      <c r="M19" s="210" t="s">
        <v>65</v>
      </c>
      <c r="N19" s="210"/>
      <c r="O19" s="210"/>
      <c r="P19" s="210"/>
    </row>
    <row r="20" spans="2:16" ht="32.25" customHeight="1" thickBot="1" x14ac:dyDescent="0.3">
      <c r="C20" s="196">
        <v>1</v>
      </c>
      <c r="D20" s="196"/>
      <c r="E20" s="196"/>
      <c r="F20" s="196"/>
      <c r="G20" s="197" t="s">
        <v>67</v>
      </c>
      <c r="H20" s="197"/>
      <c r="I20" s="197"/>
      <c r="J20" s="197"/>
      <c r="K20" s="197"/>
      <c r="L20" s="197"/>
      <c r="M20" s="197" t="s">
        <v>73</v>
      </c>
      <c r="N20" s="197"/>
      <c r="O20" s="197"/>
      <c r="P20" s="197"/>
    </row>
    <row r="21" spans="2:16" ht="31.5" customHeight="1" thickBot="1" x14ac:dyDescent="0.3">
      <c r="C21" s="196">
        <v>3</v>
      </c>
      <c r="D21" s="196"/>
      <c r="E21" s="196"/>
      <c r="F21" s="196"/>
      <c r="G21" s="211" t="s">
        <v>68</v>
      </c>
      <c r="H21" s="211"/>
      <c r="I21" s="211"/>
      <c r="J21" s="211"/>
      <c r="K21" s="211"/>
      <c r="L21" s="211"/>
      <c r="M21" s="197" t="s">
        <v>74</v>
      </c>
      <c r="N21" s="197"/>
      <c r="O21" s="197"/>
      <c r="P21" s="197"/>
    </row>
    <row r="22" spans="2:16" ht="16.5" customHeight="1" thickBot="1" x14ac:dyDescent="0.3">
      <c r="C22" s="196">
        <v>5</v>
      </c>
      <c r="D22" s="196"/>
      <c r="E22" s="196"/>
      <c r="F22" s="196"/>
      <c r="G22" s="211" t="s">
        <v>69</v>
      </c>
      <c r="H22" s="211"/>
      <c r="I22" s="211"/>
      <c r="J22" s="211"/>
      <c r="K22" s="211"/>
      <c r="L22" s="211"/>
      <c r="M22" s="197" t="s">
        <v>75</v>
      </c>
      <c r="N22" s="197"/>
      <c r="O22" s="197"/>
      <c r="P22" s="197"/>
    </row>
    <row r="23" spans="2:16" ht="33" customHeight="1" thickBot="1" x14ac:dyDescent="0.3">
      <c r="C23" s="196">
        <v>7</v>
      </c>
      <c r="D23" s="196"/>
      <c r="E23" s="196"/>
      <c r="F23" s="196"/>
      <c r="G23" s="211" t="s">
        <v>70</v>
      </c>
      <c r="H23" s="211"/>
      <c r="I23" s="211"/>
      <c r="J23" s="211"/>
      <c r="K23" s="211"/>
      <c r="L23" s="211"/>
      <c r="M23" s="197" t="s">
        <v>76</v>
      </c>
      <c r="N23" s="197"/>
      <c r="O23" s="197"/>
      <c r="P23" s="197"/>
    </row>
    <row r="24" spans="2:16" ht="30" customHeight="1" thickBot="1" x14ac:dyDescent="0.3">
      <c r="C24" s="196">
        <v>9</v>
      </c>
      <c r="D24" s="196"/>
      <c r="E24" s="196"/>
      <c r="F24" s="196"/>
      <c r="G24" s="211" t="s">
        <v>71</v>
      </c>
      <c r="H24" s="211"/>
      <c r="I24" s="211"/>
      <c r="J24" s="211"/>
      <c r="K24" s="211"/>
      <c r="L24" s="211"/>
      <c r="M24" s="197" t="s">
        <v>77</v>
      </c>
      <c r="N24" s="197"/>
      <c r="O24" s="197"/>
      <c r="P24" s="197"/>
    </row>
    <row r="25" spans="2:16" x14ac:dyDescent="0.25">
      <c r="C25" s="196" t="s">
        <v>66</v>
      </c>
      <c r="D25" s="196"/>
      <c r="E25" s="196"/>
      <c r="F25" s="196"/>
      <c r="G25" s="213" t="s">
        <v>72</v>
      </c>
      <c r="H25" s="213"/>
      <c r="I25" s="213"/>
      <c r="J25" s="213"/>
      <c r="K25" s="213"/>
      <c r="L25" s="213"/>
      <c r="M25" s="214" t="s">
        <v>78</v>
      </c>
      <c r="N25" s="214"/>
      <c r="O25" s="214"/>
      <c r="P25" s="214"/>
    </row>
    <row r="26" spans="2:16" x14ac:dyDescent="0.25">
      <c r="C26" s="27"/>
      <c r="D26" s="27"/>
      <c r="E26" s="27"/>
      <c r="F26" s="27"/>
      <c r="G26" s="28"/>
      <c r="H26" s="28"/>
      <c r="I26" s="28"/>
      <c r="J26" s="28"/>
      <c r="K26" s="28"/>
      <c r="L26" s="28"/>
      <c r="M26" s="29"/>
      <c r="N26" s="29"/>
      <c r="O26" s="29"/>
      <c r="P26" s="29"/>
    </row>
    <row r="27" spans="2:16" x14ac:dyDescent="0.25">
      <c r="C27" s="3" t="s">
        <v>84</v>
      </c>
    </row>
    <row r="28" spans="2:16" x14ac:dyDescent="0.25">
      <c r="C28" s="24" t="s">
        <v>85</v>
      </c>
    </row>
    <row r="29" spans="2:16" x14ac:dyDescent="0.25">
      <c r="C29" s="24" t="s">
        <v>86</v>
      </c>
    </row>
    <row r="30" spans="2:16" x14ac:dyDescent="0.25">
      <c r="C30" s="3" t="s">
        <v>87</v>
      </c>
    </row>
    <row r="31" spans="2:16" x14ac:dyDescent="0.25"/>
    <row r="32" spans="2:16" x14ac:dyDescent="0.25"/>
    <row r="33" spans="1:14" x14ac:dyDescent="0.25"/>
    <row r="34" spans="1:14" x14ac:dyDescent="0.25"/>
    <row r="35" spans="1:14" x14ac:dyDescent="0.25"/>
    <row r="36" spans="1:14" x14ac:dyDescent="0.25"/>
    <row r="37" spans="1:14" x14ac:dyDescent="0.25"/>
    <row r="38" spans="1:14" x14ac:dyDescent="0.25"/>
    <row r="39" spans="1:14" x14ac:dyDescent="0.25"/>
    <row r="40" spans="1:14" x14ac:dyDescent="0.25"/>
    <row r="41" spans="1:14" x14ac:dyDescent="0.25"/>
    <row r="42" spans="1:14" x14ac:dyDescent="0.25">
      <c r="C42" s="3" t="s">
        <v>88</v>
      </c>
    </row>
    <row r="43" spans="1:14" ht="15.75" thickBot="1" x14ac:dyDescent="0.3">
      <c r="C43" s="24" t="s">
        <v>93</v>
      </c>
      <c r="D43" s="24" t="s">
        <v>94</v>
      </c>
      <c r="E43" s="24" t="s">
        <v>95</v>
      </c>
      <c r="F43" s="24" t="s">
        <v>96</v>
      </c>
    </row>
    <row r="44" spans="1:14" ht="47.25" customHeight="1" thickBot="1" x14ac:dyDescent="0.3">
      <c r="B44" s="33" t="s">
        <v>92</v>
      </c>
      <c r="C44" s="42" t="s">
        <v>89</v>
      </c>
      <c r="D44" s="42" t="s">
        <v>48</v>
      </c>
      <c r="E44" s="42" t="s">
        <v>90</v>
      </c>
      <c r="F44" s="42" t="s">
        <v>91</v>
      </c>
      <c r="G44" s="215" t="s">
        <v>97</v>
      </c>
      <c r="H44" s="215"/>
      <c r="I44" s="215"/>
      <c r="J44" s="215"/>
      <c r="K44" s="42" t="s">
        <v>99</v>
      </c>
    </row>
    <row r="45" spans="1:14" ht="30" x14ac:dyDescent="0.25">
      <c r="A45" s="24" t="s">
        <v>93</v>
      </c>
      <c r="B45" s="42" t="s">
        <v>89</v>
      </c>
      <c r="C45" s="49">
        <v>1</v>
      </c>
      <c r="D45" s="43">
        <v>2</v>
      </c>
      <c r="E45" s="43">
        <v>4</v>
      </c>
      <c r="F45" s="43">
        <v>0.5</v>
      </c>
      <c r="G45" s="58">
        <f>C45/C$49</f>
        <v>0.26666666666666666</v>
      </c>
      <c r="H45" s="58">
        <f t="shared" ref="H45:J48" si="0">D45/D$49</f>
        <v>0.26666666666666666</v>
      </c>
      <c r="I45" s="58">
        <f t="shared" si="0"/>
        <v>0.26666666666666666</v>
      </c>
      <c r="J45" s="58">
        <f t="shared" si="0"/>
        <v>0.26666666666666666</v>
      </c>
      <c r="K45" s="149">
        <f>AVERAGE(G45:J45)</f>
        <v>0.26666666666666666</v>
      </c>
      <c r="M45" s="24" t="str">
        <f>TEXT("C1 =",1)&amp;FIXED(K45,2)</f>
        <v>C1 =0,27</v>
      </c>
      <c r="N45" s="56" t="s">
        <v>89</v>
      </c>
    </row>
    <row r="46" spans="1:14" ht="30" x14ac:dyDescent="0.25">
      <c r="A46" s="24" t="s">
        <v>94</v>
      </c>
      <c r="B46" s="42" t="s">
        <v>48</v>
      </c>
      <c r="C46" s="58">
        <f>IF(ISBLANK(INDEX($C$45:$F$48,1,2)),"",1/INDEX($C$45:$F$48,1,2))</f>
        <v>0.5</v>
      </c>
      <c r="D46" s="49">
        <v>1</v>
      </c>
      <c r="E46" s="43">
        <v>2</v>
      </c>
      <c r="F46" s="43">
        <v>0.25</v>
      </c>
      <c r="G46" s="58">
        <f t="shared" ref="G46:G48" si="1">C46/C$49</f>
        <v>0.13333333333333333</v>
      </c>
      <c r="H46" s="58">
        <f t="shared" si="0"/>
        <v>0.13333333333333333</v>
      </c>
      <c r="I46" s="58">
        <f t="shared" si="0"/>
        <v>0.13333333333333333</v>
      </c>
      <c r="J46" s="58">
        <f t="shared" si="0"/>
        <v>0.13333333333333333</v>
      </c>
      <c r="K46" s="149">
        <f t="shared" ref="K46:K48" si="2">AVERAGE(G46:J46)</f>
        <v>0.13333333333333333</v>
      </c>
      <c r="M46" s="24" t="str">
        <f>TEXT("C2 =",1)&amp;FIXED(K46,2)</f>
        <v>C2 =0,13</v>
      </c>
      <c r="N46" s="56" t="s">
        <v>48</v>
      </c>
    </row>
    <row r="47" spans="1:14" ht="30" x14ac:dyDescent="0.25">
      <c r="A47" s="24" t="s">
        <v>95</v>
      </c>
      <c r="B47" s="42" t="s">
        <v>90</v>
      </c>
      <c r="C47" s="58">
        <f>IF(ISBLANK(INDEX($C$45:$F$48,1,3)),"",1/INDEX($C$45:$F$48,1,3))</f>
        <v>0.25</v>
      </c>
      <c r="D47" s="58">
        <f>IF(ISBLANK(INDEX($C$45:$F$48,2,3)),"",1/INDEX($C$45:$F$48,2,3))</f>
        <v>0.5</v>
      </c>
      <c r="E47" s="49">
        <v>1</v>
      </c>
      <c r="F47" s="43">
        <v>0.125</v>
      </c>
      <c r="G47" s="58">
        <f t="shared" si="1"/>
        <v>6.6666666666666666E-2</v>
      </c>
      <c r="H47" s="58">
        <f t="shared" si="0"/>
        <v>6.6666666666666666E-2</v>
      </c>
      <c r="I47" s="58">
        <f t="shared" si="0"/>
        <v>6.6666666666666666E-2</v>
      </c>
      <c r="J47" s="58">
        <f t="shared" si="0"/>
        <v>6.6666666666666666E-2</v>
      </c>
      <c r="K47" s="149">
        <f t="shared" si="2"/>
        <v>6.6666666666666666E-2</v>
      </c>
      <c r="M47" s="24" t="str">
        <f>TEXT("C3 =",1)&amp;FIXED(K47,2)</f>
        <v>C3 =0,07</v>
      </c>
      <c r="N47" s="56" t="s">
        <v>90</v>
      </c>
    </row>
    <row r="48" spans="1:14" ht="30" x14ac:dyDescent="0.25">
      <c r="A48" s="24" t="s">
        <v>96</v>
      </c>
      <c r="B48" s="42" t="s">
        <v>91</v>
      </c>
      <c r="C48" s="58">
        <f>IF(ISBLANK(INDEX($C$45:$F$48,1,4)),"",1/INDEX($C$45:$F$48,1,4))</f>
        <v>2</v>
      </c>
      <c r="D48" s="58">
        <f>IF(ISBLANK(INDEX($C$45:$F$48,2,4)),"",1/INDEX($C$45:$F$48,2,4))</f>
        <v>4</v>
      </c>
      <c r="E48" s="58">
        <f>IF(ISBLANK(INDEX($C$45:$F$48,3,4)),"",1/INDEX($C$45:$F$48,3,4))</f>
        <v>8</v>
      </c>
      <c r="F48" s="49">
        <v>1</v>
      </c>
      <c r="G48" s="58">
        <f t="shared" si="1"/>
        <v>0.53333333333333333</v>
      </c>
      <c r="H48" s="58">
        <f t="shared" si="0"/>
        <v>0.53333333333333333</v>
      </c>
      <c r="I48" s="58">
        <f t="shared" si="0"/>
        <v>0.53333333333333333</v>
      </c>
      <c r="J48" s="58">
        <f t="shared" si="0"/>
        <v>0.53333333333333333</v>
      </c>
      <c r="K48" s="149">
        <f t="shared" si="2"/>
        <v>0.53333333333333333</v>
      </c>
      <c r="M48" s="24" t="str">
        <f>TEXT("C4 =",1)&amp;FIXED(K48,2)</f>
        <v>C4 =0,53</v>
      </c>
      <c r="N48" s="56" t="s">
        <v>91</v>
      </c>
    </row>
    <row r="49" spans="2:16" x14ac:dyDescent="0.25">
      <c r="C49" s="130">
        <f>SUM(C45:C48)</f>
        <v>3.75</v>
      </c>
      <c r="D49" s="130">
        <f t="shared" ref="D49:F49" si="3">SUM(D45:D48)</f>
        <v>7.5</v>
      </c>
      <c r="E49" s="130">
        <f t="shared" si="3"/>
        <v>15</v>
      </c>
      <c r="F49" s="130">
        <f t="shared" si="3"/>
        <v>1.875</v>
      </c>
      <c r="G49" s="24">
        <f>SUM(G45:G48)</f>
        <v>1</v>
      </c>
      <c r="H49" s="24">
        <f t="shared" ref="H49:J49" si="4">SUM(H45:H48)</f>
        <v>1</v>
      </c>
      <c r="I49" s="24">
        <f t="shared" si="4"/>
        <v>1</v>
      </c>
      <c r="J49" s="24">
        <f t="shared" si="4"/>
        <v>1</v>
      </c>
    </row>
    <row r="50" spans="2:16" x14ac:dyDescent="0.25">
      <c r="G50" s="3" t="s">
        <v>98</v>
      </c>
    </row>
    <row r="51" spans="2:16" x14ac:dyDescent="0.25"/>
    <row r="52" spans="2:16" x14ac:dyDescent="0.25"/>
    <row r="53" spans="2:16" x14ac:dyDescent="0.25">
      <c r="C53" s="3" t="s">
        <v>100</v>
      </c>
    </row>
    <row r="54" spans="2:16" x14ac:dyDescent="0.25">
      <c r="B54" s="36" t="s">
        <v>107</v>
      </c>
      <c r="C54" s="24" t="s">
        <v>101</v>
      </c>
    </row>
    <row r="55" spans="2:16" ht="39.950000000000003" customHeight="1" x14ac:dyDescent="0.25">
      <c r="B55" s="37" t="s">
        <v>107</v>
      </c>
      <c r="C55" s="216" t="s">
        <v>102</v>
      </c>
      <c r="D55" s="216"/>
      <c r="E55" s="216"/>
      <c r="F55" s="216"/>
      <c r="G55" s="216"/>
      <c r="H55" s="216"/>
      <c r="I55" s="216"/>
      <c r="J55" s="216"/>
      <c r="K55" s="216"/>
      <c r="L55" s="30"/>
      <c r="M55" s="30"/>
      <c r="N55" s="30"/>
      <c r="O55" s="30"/>
      <c r="P55" s="30"/>
    </row>
    <row r="56" spans="2:16" ht="32.25" customHeight="1" x14ac:dyDescent="0.25">
      <c r="B56" s="37" t="s">
        <v>107</v>
      </c>
      <c r="C56" s="216" t="s">
        <v>103</v>
      </c>
      <c r="D56" s="216"/>
      <c r="E56" s="216"/>
      <c r="F56" s="216"/>
      <c r="G56" s="216"/>
      <c r="H56" s="216"/>
      <c r="I56" s="216"/>
      <c r="J56" s="216"/>
      <c r="K56" s="216"/>
    </row>
    <row r="57" spans="2:16" x14ac:dyDescent="0.25">
      <c r="B57" s="37" t="s">
        <v>107</v>
      </c>
      <c r="C57" s="24" t="s">
        <v>104</v>
      </c>
    </row>
    <row r="58" spans="2:16" x14ac:dyDescent="0.25"/>
    <row r="59" spans="2:16" x14ac:dyDescent="0.25">
      <c r="C59" s="3" t="s">
        <v>105</v>
      </c>
    </row>
    <row r="60" spans="2:16" x14ac:dyDescent="0.25">
      <c r="B60" s="3">
        <v>1</v>
      </c>
      <c r="C60" s="24" t="s">
        <v>108</v>
      </c>
    </row>
    <row r="61" spans="2:16" x14ac:dyDescent="0.25">
      <c r="B61" s="3">
        <v>2</v>
      </c>
      <c r="C61" s="24" t="s">
        <v>109</v>
      </c>
    </row>
    <row r="62" spans="2:16" x14ac:dyDescent="0.25">
      <c r="B62" s="3">
        <v>3</v>
      </c>
      <c r="C62" s="24" t="s">
        <v>110</v>
      </c>
    </row>
    <row r="63" spans="2:16" x14ac:dyDescent="0.25">
      <c r="B63" s="3">
        <v>4</v>
      </c>
      <c r="C63" s="24" t="s">
        <v>106</v>
      </c>
    </row>
    <row r="64" spans="2:16" x14ac:dyDescent="0.25">
      <c r="B64" s="3"/>
    </row>
    <row r="65" spans="2:14" x14ac:dyDescent="0.25">
      <c r="C65" s="42" t="s">
        <v>132</v>
      </c>
      <c r="E65" s="42" t="s">
        <v>133</v>
      </c>
    </row>
    <row r="66" spans="2:14" x14ac:dyDescent="0.25">
      <c r="C66" s="131" cm="1">
        <f t="array" ref="C66:C69">MMULT(C45:F48,K45:K48)</f>
        <v>1.0666666666666667</v>
      </c>
      <c r="E66" s="131">
        <f>C66/K45</f>
        <v>4</v>
      </c>
      <c r="H66" s="3" t="s">
        <v>112</v>
      </c>
    </row>
    <row r="67" spans="2:14" ht="15.75" customHeight="1" x14ac:dyDescent="0.25">
      <c r="C67" s="131">
        <v>0.53333333333333333</v>
      </c>
      <c r="E67" s="131">
        <f>C67/K46</f>
        <v>4</v>
      </c>
      <c r="G67" s="38" t="s">
        <v>111</v>
      </c>
      <c r="H67" s="132">
        <f>AVERAGE(E66:E69)</f>
        <v>4</v>
      </c>
      <c r="J67" s="212" t="s">
        <v>234</v>
      </c>
      <c r="K67" s="212"/>
    </row>
    <row r="68" spans="2:14" x14ac:dyDescent="0.25">
      <c r="C68" s="131">
        <v>0.26666666666666666</v>
      </c>
      <c r="E68" s="131">
        <f>C68/K47</f>
        <v>4</v>
      </c>
      <c r="J68" s="212"/>
      <c r="K68" s="212"/>
      <c r="M68" s="136">
        <f>(H67-4)/(4-1)</f>
        <v>0</v>
      </c>
    </row>
    <row r="69" spans="2:14" x14ac:dyDescent="0.25">
      <c r="C69" s="131">
        <v>2.1333333333333333</v>
      </c>
      <c r="E69" s="131">
        <f>C69/K48</f>
        <v>4</v>
      </c>
      <c r="J69" s="40"/>
    </row>
    <row r="70" spans="2:14" x14ac:dyDescent="0.25"/>
    <row r="71" spans="2:14" x14ac:dyDescent="0.25"/>
    <row r="72" spans="2:14" x14ac:dyDescent="0.25"/>
    <row r="73" spans="2:14" x14ac:dyDescent="0.25"/>
    <row r="74" spans="2:14" x14ac:dyDescent="0.25">
      <c r="J74" s="217" t="s">
        <v>233</v>
      </c>
      <c r="K74" s="217"/>
    </row>
    <row r="75" spans="2:14" x14ac:dyDescent="0.25">
      <c r="B75" s="24">
        <v>5</v>
      </c>
      <c r="C75" s="24" t="s">
        <v>114</v>
      </c>
      <c r="J75" s="217"/>
      <c r="K75" s="217"/>
      <c r="M75" s="142">
        <f>(1.98*(4-2))/4</f>
        <v>0.99</v>
      </c>
    </row>
    <row r="76" spans="2:14" x14ac:dyDescent="0.25">
      <c r="J76" s="36"/>
      <c r="K76" s="36"/>
    </row>
    <row r="77" spans="2:14" x14ac:dyDescent="0.25"/>
    <row r="78" spans="2:14" x14ac:dyDescent="0.25"/>
    <row r="79" spans="2:14" x14ac:dyDescent="0.25">
      <c r="J79" s="218" t="s">
        <v>117</v>
      </c>
      <c r="K79" s="219"/>
    </row>
    <row r="80" spans="2:14" x14ac:dyDescent="0.25">
      <c r="B80" s="24">
        <v>6</v>
      </c>
      <c r="C80" s="24" t="s">
        <v>116</v>
      </c>
      <c r="J80" s="219"/>
      <c r="K80" s="219"/>
      <c r="M80" s="152">
        <f>M68/M75</f>
        <v>0</v>
      </c>
      <c r="N80" s="24" t="str">
        <f>IF(M80&gt;10%,"Inconsistente","Concistente")</f>
        <v>Concistente</v>
      </c>
    </row>
    <row r="81" spans="2:18" x14ac:dyDescent="0.25"/>
    <row r="82" spans="2:18" x14ac:dyDescent="0.25"/>
    <row r="83" spans="2:18" x14ac:dyDescent="0.25"/>
    <row r="84" spans="2:18" x14ac:dyDescent="0.25"/>
    <row r="85" spans="2:18" x14ac:dyDescent="0.25"/>
    <row r="86" spans="2:18" ht="18.75" x14ac:dyDescent="0.3">
      <c r="C86" s="220" t="s">
        <v>122</v>
      </c>
      <c r="D86" s="220"/>
      <c r="E86" s="220"/>
      <c r="F86" s="220"/>
      <c r="G86" s="220"/>
      <c r="H86" s="220"/>
      <c r="I86" s="220"/>
      <c r="J86" s="220"/>
      <c r="K86" s="220"/>
      <c r="L86" s="220"/>
      <c r="M86" s="220"/>
      <c r="N86" s="220"/>
      <c r="O86" s="220"/>
      <c r="P86" s="220"/>
      <c r="Q86" s="220"/>
      <c r="R86" s="220"/>
    </row>
    <row r="87" spans="2:18" x14ac:dyDescent="0.25"/>
    <row r="88" spans="2:18" ht="61.5" customHeight="1" x14ac:dyDescent="0.25">
      <c r="B88" s="52" t="s">
        <v>118</v>
      </c>
      <c r="C88" s="54" t="s">
        <v>34</v>
      </c>
      <c r="D88" s="54" t="s">
        <v>120</v>
      </c>
      <c r="E88" s="54" t="s">
        <v>35</v>
      </c>
      <c r="F88" s="54" t="s">
        <v>36</v>
      </c>
      <c r="G88" s="54" t="s">
        <v>37</v>
      </c>
      <c r="H88" s="54" t="s">
        <v>38</v>
      </c>
      <c r="I88" s="54" t="s">
        <v>39</v>
      </c>
      <c r="J88" s="55" t="s">
        <v>40</v>
      </c>
      <c r="K88" s="54" t="s">
        <v>41</v>
      </c>
      <c r="L88" s="54" t="s">
        <v>42</v>
      </c>
      <c r="M88" s="54" t="s">
        <v>43</v>
      </c>
      <c r="N88" s="54" t="s">
        <v>44</v>
      </c>
      <c r="O88" s="54" t="s">
        <v>45</v>
      </c>
      <c r="P88" s="54" t="s">
        <v>46</v>
      </c>
      <c r="Q88" s="54" t="s">
        <v>47</v>
      </c>
      <c r="R88" s="54" t="s">
        <v>119</v>
      </c>
    </row>
    <row r="89" spans="2:18" ht="30.75" customHeight="1" x14ac:dyDescent="0.3">
      <c r="B89" s="54" t="s">
        <v>34</v>
      </c>
      <c r="C89" s="51">
        <v>1</v>
      </c>
      <c r="D89" s="47">
        <f>1/C90</f>
        <v>0.25</v>
      </c>
      <c r="E89" s="47">
        <v>2</v>
      </c>
      <c r="F89" s="47">
        <f>1/C92</f>
        <v>0.2</v>
      </c>
      <c r="G89" s="47">
        <v>7</v>
      </c>
      <c r="H89" s="34">
        <v>3</v>
      </c>
      <c r="I89" s="34">
        <f>1/C95</f>
        <v>0.5</v>
      </c>
      <c r="J89" s="34">
        <f>1/C96</f>
        <v>0.5</v>
      </c>
      <c r="K89" s="34">
        <v>3</v>
      </c>
      <c r="L89" s="34">
        <v>2</v>
      </c>
      <c r="M89" s="34">
        <v>4</v>
      </c>
      <c r="N89" s="34">
        <v>2</v>
      </c>
      <c r="O89" s="34">
        <f>1/C101</f>
        <v>0.5</v>
      </c>
      <c r="P89" s="34">
        <v>3</v>
      </c>
      <c r="Q89" s="34">
        <v>2</v>
      </c>
      <c r="R89" s="34">
        <v>4</v>
      </c>
    </row>
    <row r="90" spans="2:18" ht="16.5" x14ac:dyDescent="0.3">
      <c r="B90" s="54" t="s">
        <v>121</v>
      </c>
      <c r="C90" s="47">
        <v>4</v>
      </c>
      <c r="D90" s="51">
        <v>1</v>
      </c>
      <c r="E90" s="47">
        <v>4</v>
      </c>
      <c r="F90" s="47">
        <f>1/D92</f>
        <v>0.33333333333333331</v>
      </c>
      <c r="G90" s="47">
        <v>8</v>
      </c>
      <c r="H90" s="34">
        <v>4</v>
      </c>
      <c r="I90" s="34">
        <v>2</v>
      </c>
      <c r="J90" s="34">
        <v>2</v>
      </c>
      <c r="K90" s="34">
        <v>3</v>
      </c>
      <c r="L90" s="34">
        <v>5</v>
      </c>
      <c r="M90" s="34">
        <v>2</v>
      </c>
      <c r="N90" s="34">
        <v>3</v>
      </c>
      <c r="O90" s="34">
        <v>2</v>
      </c>
      <c r="P90" s="34">
        <v>5</v>
      </c>
      <c r="Q90" s="34">
        <v>4</v>
      </c>
      <c r="R90" s="34">
        <v>9</v>
      </c>
    </row>
    <row r="91" spans="2:18" ht="27" x14ac:dyDescent="0.3">
      <c r="B91" s="54" t="s">
        <v>35</v>
      </c>
      <c r="C91" s="47">
        <f>1/E89</f>
        <v>0.5</v>
      </c>
      <c r="D91" s="47">
        <f>1/E90</f>
        <v>0.25</v>
      </c>
      <c r="E91" s="51">
        <v>1</v>
      </c>
      <c r="F91" s="47">
        <f>1/E92</f>
        <v>0.2</v>
      </c>
      <c r="G91" s="47">
        <v>6</v>
      </c>
      <c r="H91" s="34">
        <v>2</v>
      </c>
      <c r="I91" s="34">
        <f>1/E95</f>
        <v>0.25</v>
      </c>
      <c r="J91" s="34">
        <f>1/E96</f>
        <v>0.5</v>
      </c>
      <c r="K91" s="34">
        <v>3</v>
      </c>
      <c r="L91" s="34">
        <v>4</v>
      </c>
      <c r="M91" s="34">
        <v>4</v>
      </c>
      <c r="N91" s="34">
        <v>3</v>
      </c>
      <c r="O91" s="34">
        <f>1/E101</f>
        <v>0.5</v>
      </c>
      <c r="P91" s="34">
        <v>3</v>
      </c>
      <c r="Q91" s="34">
        <f>1/E103</f>
        <v>0.5</v>
      </c>
      <c r="R91" s="34">
        <v>4</v>
      </c>
    </row>
    <row r="92" spans="2:18" ht="39.75" x14ac:dyDescent="0.3">
      <c r="B92" s="54" t="s">
        <v>36</v>
      </c>
      <c r="C92" s="47">
        <v>5</v>
      </c>
      <c r="D92" s="47">
        <v>3</v>
      </c>
      <c r="E92" s="47">
        <v>5</v>
      </c>
      <c r="F92" s="51">
        <v>1</v>
      </c>
      <c r="G92" s="47">
        <v>9</v>
      </c>
      <c r="H92" s="34">
        <v>4</v>
      </c>
      <c r="I92" s="34">
        <v>2</v>
      </c>
      <c r="J92" s="34">
        <v>3</v>
      </c>
      <c r="K92" s="34">
        <v>5</v>
      </c>
      <c r="L92" s="34">
        <v>8</v>
      </c>
      <c r="M92" s="34">
        <v>4</v>
      </c>
      <c r="N92" s="34">
        <v>6</v>
      </c>
      <c r="O92" s="34">
        <v>3</v>
      </c>
      <c r="P92" s="34">
        <v>6</v>
      </c>
      <c r="Q92" s="34">
        <v>6</v>
      </c>
      <c r="R92" s="34">
        <v>9</v>
      </c>
    </row>
    <row r="93" spans="2:18" ht="39.75" x14ac:dyDescent="0.3">
      <c r="B93" s="54" t="s">
        <v>37</v>
      </c>
      <c r="C93" s="47">
        <f>1/G89</f>
        <v>0.14285714285714285</v>
      </c>
      <c r="D93" s="47">
        <f>1/G90</f>
        <v>0.125</v>
      </c>
      <c r="E93" s="47">
        <f>1/G91</f>
        <v>0.16666666666666666</v>
      </c>
      <c r="F93" s="47">
        <f>1/G92</f>
        <v>0.1111111111111111</v>
      </c>
      <c r="G93" s="51">
        <v>1</v>
      </c>
      <c r="H93" s="34">
        <f>1/G94</f>
        <v>0.33333333333333331</v>
      </c>
      <c r="I93" s="34">
        <f>1/G95</f>
        <v>0.125</v>
      </c>
      <c r="J93" s="34">
        <f>1/G96</f>
        <v>0.14285714285714285</v>
      </c>
      <c r="K93" s="34">
        <f>1/G97</f>
        <v>0.25</v>
      </c>
      <c r="L93" s="34">
        <f>1/G98</f>
        <v>0.25</v>
      </c>
      <c r="M93" s="34">
        <f>1/G99</f>
        <v>0.2</v>
      </c>
      <c r="N93" s="34">
        <f>1/G100</f>
        <v>0.25</v>
      </c>
      <c r="O93" s="34">
        <f>1/G101</f>
        <v>0.14285714285714285</v>
      </c>
      <c r="P93" s="34">
        <f>1/G102</f>
        <v>0.16666666666666666</v>
      </c>
      <c r="Q93" s="34">
        <f>1/G103</f>
        <v>0.16666666666666666</v>
      </c>
      <c r="R93" s="34">
        <f>1/G104</f>
        <v>0.33333333333333331</v>
      </c>
    </row>
    <row r="94" spans="2:18" ht="16.5" x14ac:dyDescent="0.3">
      <c r="B94" s="54" t="s">
        <v>38</v>
      </c>
      <c r="C94" s="47">
        <f>1/H89</f>
        <v>0.33333333333333331</v>
      </c>
      <c r="D94" s="47">
        <f>1/H90</f>
        <v>0.25</v>
      </c>
      <c r="E94" s="47">
        <f>1/H91</f>
        <v>0.5</v>
      </c>
      <c r="F94" s="47">
        <f>1/H92</f>
        <v>0.25</v>
      </c>
      <c r="G94" s="47">
        <v>3</v>
      </c>
      <c r="H94" s="50">
        <v>1</v>
      </c>
      <c r="I94" s="34">
        <f>1/H95</f>
        <v>0.125</v>
      </c>
      <c r="J94" s="34">
        <f>1/H96</f>
        <v>0.5</v>
      </c>
      <c r="K94" s="34">
        <f>1/H97</f>
        <v>0.33333333333333331</v>
      </c>
      <c r="L94" s="34">
        <f>1/H98</f>
        <v>0.5</v>
      </c>
      <c r="M94" s="34">
        <f>1/H99</f>
        <v>0.33333333333333331</v>
      </c>
      <c r="N94" s="34">
        <f>1/H100</f>
        <v>0.5</v>
      </c>
      <c r="O94" s="34">
        <f>1/H101</f>
        <v>0.25</v>
      </c>
      <c r="P94" s="34">
        <f>1/H102</f>
        <v>0.5</v>
      </c>
      <c r="Q94" s="34">
        <f>1/H103</f>
        <v>0.33333333333333331</v>
      </c>
      <c r="R94" s="34">
        <v>4</v>
      </c>
    </row>
    <row r="95" spans="2:18" ht="39.75" x14ac:dyDescent="0.3">
      <c r="B95" s="54" t="s">
        <v>39</v>
      </c>
      <c r="C95" s="47">
        <v>2</v>
      </c>
      <c r="D95" s="47">
        <f>1/I90</f>
        <v>0.5</v>
      </c>
      <c r="E95" s="47">
        <v>4</v>
      </c>
      <c r="F95" s="47">
        <f>1/I92</f>
        <v>0.5</v>
      </c>
      <c r="G95" s="47">
        <v>8</v>
      </c>
      <c r="H95" s="34">
        <v>8</v>
      </c>
      <c r="I95" s="50">
        <v>1</v>
      </c>
      <c r="J95" s="34">
        <v>3</v>
      </c>
      <c r="K95" s="34">
        <v>2</v>
      </c>
      <c r="L95" s="34">
        <v>4</v>
      </c>
      <c r="M95" s="34">
        <v>4</v>
      </c>
      <c r="N95" s="34">
        <v>3</v>
      </c>
      <c r="O95" s="34">
        <f>1/I101</f>
        <v>0.5</v>
      </c>
      <c r="P95" s="34">
        <v>2</v>
      </c>
      <c r="Q95" s="34">
        <v>2</v>
      </c>
      <c r="R95" s="34">
        <v>7</v>
      </c>
    </row>
    <row r="96" spans="2:18" ht="51" x14ac:dyDescent="0.3">
      <c r="B96" s="55" t="s">
        <v>40</v>
      </c>
      <c r="C96" s="48">
        <v>2</v>
      </c>
      <c r="D96" s="47">
        <f>1/J90</f>
        <v>0.5</v>
      </c>
      <c r="E96" s="48">
        <v>2</v>
      </c>
      <c r="F96" s="47">
        <f>1/J92</f>
        <v>0.33333333333333331</v>
      </c>
      <c r="G96" s="48">
        <v>7</v>
      </c>
      <c r="H96" s="34">
        <v>2</v>
      </c>
      <c r="I96" s="34">
        <f>1/J95</f>
        <v>0.33333333333333331</v>
      </c>
      <c r="J96" s="50">
        <v>1</v>
      </c>
      <c r="K96" s="34">
        <v>2</v>
      </c>
      <c r="L96" s="34">
        <v>4</v>
      </c>
      <c r="M96" s="34">
        <v>2</v>
      </c>
      <c r="N96" s="34">
        <v>2</v>
      </c>
      <c r="O96" s="34">
        <f>1/J101</f>
        <v>0.14285714285714285</v>
      </c>
      <c r="P96" s="34">
        <v>2</v>
      </c>
      <c r="Q96" s="34">
        <v>2</v>
      </c>
      <c r="R96" s="34">
        <v>6</v>
      </c>
    </row>
    <row r="97" spans="1:19 16384:16384" ht="16.5" x14ac:dyDescent="0.3">
      <c r="B97" s="54" t="s">
        <v>41</v>
      </c>
      <c r="C97" s="47">
        <f>1/K89</f>
        <v>0.33333333333333331</v>
      </c>
      <c r="D97" s="47">
        <f>1/K90</f>
        <v>0.33333333333333331</v>
      </c>
      <c r="E97" s="47">
        <f>1/K91</f>
        <v>0.33333333333333331</v>
      </c>
      <c r="F97" s="47">
        <f>1/K92</f>
        <v>0.2</v>
      </c>
      <c r="G97" s="47">
        <v>4</v>
      </c>
      <c r="H97" s="34">
        <v>3</v>
      </c>
      <c r="I97" s="34">
        <f>1/K95</f>
        <v>0.5</v>
      </c>
      <c r="J97" s="34">
        <f>1/K96</f>
        <v>0.5</v>
      </c>
      <c r="K97" s="50">
        <v>1</v>
      </c>
      <c r="L97" s="34">
        <v>3</v>
      </c>
      <c r="M97" s="34">
        <v>3</v>
      </c>
      <c r="N97" s="34">
        <v>4</v>
      </c>
      <c r="O97" s="34">
        <f>1/K101</f>
        <v>0.5</v>
      </c>
      <c r="P97" s="34">
        <f>1/K102</f>
        <v>0.5</v>
      </c>
      <c r="Q97" s="34">
        <f>1/K103</f>
        <v>0.5</v>
      </c>
      <c r="R97" s="34">
        <v>4</v>
      </c>
    </row>
    <row r="98" spans="1:19 16384:16384" ht="27" x14ac:dyDescent="0.3">
      <c r="B98" s="54" t="s">
        <v>42</v>
      </c>
      <c r="C98" s="47">
        <f>1/L89</f>
        <v>0.5</v>
      </c>
      <c r="D98" s="47">
        <f>1/L90</f>
        <v>0.2</v>
      </c>
      <c r="E98" s="47">
        <f>1/L91</f>
        <v>0.25</v>
      </c>
      <c r="F98" s="47">
        <f>1/L92</f>
        <v>0.125</v>
      </c>
      <c r="G98" s="47">
        <v>4</v>
      </c>
      <c r="H98" s="34">
        <v>2</v>
      </c>
      <c r="I98" s="34">
        <f>1/L95</f>
        <v>0.25</v>
      </c>
      <c r="J98" s="34">
        <f>1/L96</f>
        <v>0.25</v>
      </c>
      <c r="K98" s="34">
        <f>1/L97</f>
        <v>0.33333333333333331</v>
      </c>
      <c r="L98" s="50">
        <v>1</v>
      </c>
      <c r="M98" s="34">
        <f>1/L99</f>
        <v>0.5</v>
      </c>
      <c r="N98" s="34">
        <f>1/L100</f>
        <v>0.33333333333333331</v>
      </c>
      <c r="O98" s="34">
        <f>1/L101</f>
        <v>0.14285714285714285</v>
      </c>
      <c r="P98" s="34">
        <f>1/L102</f>
        <v>0.25</v>
      </c>
      <c r="Q98" s="34">
        <f>1/L103</f>
        <v>0.125</v>
      </c>
      <c r="R98" s="34">
        <v>2</v>
      </c>
    </row>
    <row r="99" spans="1:19 16384:16384" ht="27" x14ac:dyDescent="0.3">
      <c r="B99" s="54" t="s">
        <v>43</v>
      </c>
      <c r="C99" s="47">
        <f>1/M89</f>
        <v>0.25</v>
      </c>
      <c r="D99" s="47">
        <f>1/M90</f>
        <v>0.5</v>
      </c>
      <c r="E99" s="47">
        <f>1/M91</f>
        <v>0.25</v>
      </c>
      <c r="F99" s="47">
        <f>1/M92</f>
        <v>0.25</v>
      </c>
      <c r="G99" s="47">
        <v>5</v>
      </c>
      <c r="H99" s="34">
        <v>3</v>
      </c>
      <c r="I99" s="34">
        <f>1/M95</f>
        <v>0.25</v>
      </c>
      <c r="J99" s="34">
        <f>1/M96</f>
        <v>0.5</v>
      </c>
      <c r="K99" s="34">
        <f>1/M97</f>
        <v>0.33333333333333331</v>
      </c>
      <c r="L99" s="34">
        <v>2</v>
      </c>
      <c r="M99" s="50">
        <v>1</v>
      </c>
      <c r="N99" s="34">
        <v>3</v>
      </c>
      <c r="O99" s="34">
        <f>1/M101</f>
        <v>0.2</v>
      </c>
      <c r="P99" s="34">
        <f>1/M102</f>
        <v>0.33333333333333331</v>
      </c>
      <c r="Q99" s="34">
        <f>1/M103</f>
        <v>0.33333333333333331</v>
      </c>
      <c r="R99" s="34">
        <v>4</v>
      </c>
    </row>
    <row r="100" spans="1:19 16384:16384" ht="27" x14ac:dyDescent="0.3">
      <c r="B100" s="54" t="s">
        <v>44</v>
      </c>
      <c r="C100" s="47">
        <f>1/N89</f>
        <v>0.5</v>
      </c>
      <c r="D100" s="47">
        <f>1/N90</f>
        <v>0.33333333333333331</v>
      </c>
      <c r="E100" s="47">
        <f>1/N91</f>
        <v>0.33333333333333331</v>
      </c>
      <c r="F100" s="47">
        <f>1/N92</f>
        <v>0.16666666666666666</v>
      </c>
      <c r="G100" s="47">
        <v>4</v>
      </c>
      <c r="H100" s="34">
        <v>2</v>
      </c>
      <c r="I100" s="34">
        <f>1/N95</f>
        <v>0.33333333333333331</v>
      </c>
      <c r="J100" s="34">
        <f>1/N96</f>
        <v>0.5</v>
      </c>
      <c r="K100" s="34">
        <f>1/N97</f>
        <v>0.25</v>
      </c>
      <c r="L100" s="34">
        <v>3</v>
      </c>
      <c r="M100" s="34">
        <f>1/N99</f>
        <v>0.33333333333333331</v>
      </c>
      <c r="N100" s="50">
        <v>1</v>
      </c>
      <c r="O100" s="34">
        <f>1/N101</f>
        <v>0.16666666666666666</v>
      </c>
      <c r="P100" s="34">
        <f>1/N102</f>
        <v>0.33333333333333331</v>
      </c>
      <c r="Q100" s="34">
        <f>1/N103</f>
        <v>0.25</v>
      </c>
      <c r="R100" s="34">
        <v>2</v>
      </c>
    </row>
    <row r="101" spans="1:19 16384:16384" ht="27" x14ac:dyDescent="0.3">
      <c r="B101" s="54" t="s">
        <v>45</v>
      </c>
      <c r="C101" s="47">
        <v>2</v>
      </c>
      <c r="D101" s="47">
        <f>1/O89</f>
        <v>2</v>
      </c>
      <c r="E101" s="47">
        <v>2</v>
      </c>
      <c r="F101" s="47">
        <f>1/O92</f>
        <v>0.33333333333333331</v>
      </c>
      <c r="G101" s="47">
        <v>7</v>
      </c>
      <c r="H101" s="34">
        <v>4</v>
      </c>
      <c r="I101" s="34">
        <v>2</v>
      </c>
      <c r="J101" s="34">
        <v>7</v>
      </c>
      <c r="K101" s="34">
        <v>2</v>
      </c>
      <c r="L101" s="34">
        <v>7</v>
      </c>
      <c r="M101" s="34">
        <v>5</v>
      </c>
      <c r="N101" s="34">
        <v>6</v>
      </c>
      <c r="O101" s="50">
        <v>1</v>
      </c>
      <c r="P101" s="34">
        <v>5</v>
      </c>
      <c r="Q101" s="34">
        <v>3</v>
      </c>
      <c r="R101" s="34">
        <v>6</v>
      </c>
    </row>
    <row r="102" spans="1:19 16384:16384" ht="16.5" x14ac:dyDescent="0.3">
      <c r="B102" s="54" t="s">
        <v>46</v>
      </c>
      <c r="C102" s="47">
        <f>1/P89</f>
        <v>0.33333333333333331</v>
      </c>
      <c r="D102" s="47">
        <f>1/P90</f>
        <v>0.2</v>
      </c>
      <c r="E102" s="47">
        <f>1/P91</f>
        <v>0.33333333333333331</v>
      </c>
      <c r="F102" s="47">
        <f>1/P92</f>
        <v>0.16666666666666666</v>
      </c>
      <c r="G102" s="47">
        <v>6</v>
      </c>
      <c r="H102" s="34">
        <v>2</v>
      </c>
      <c r="I102" s="34">
        <f>1/P95</f>
        <v>0.5</v>
      </c>
      <c r="J102" s="34">
        <f>1/P96</f>
        <v>0.5</v>
      </c>
      <c r="K102" s="34">
        <v>2</v>
      </c>
      <c r="L102" s="34">
        <v>4</v>
      </c>
      <c r="M102" s="34">
        <v>3</v>
      </c>
      <c r="N102" s="34">
        <v>3</v>
      </c>
      <c r="O102" s="34">
        <f>1/P101</f>
        <v>0.2</v>
      </c>
      <c r="P102" s="50">
        <v>1</v>
      </c>
      <c r="Q102" s="34">
        <f>1/P103</f>
        <v>0.33333333333333331</v>
      </c>
      <c r="R102" s="34">
        <v>3</v>
      </c>
    </row>
    <row r="103" spans="1:19 16384:16384" ht="52.5" x14ac:dyDescent="0.3">
      <c r="B103" s="54" t="s">
        <v>47</v>
      </c>
      <c r="C103" s="47">
        <f>1/Q89</f>
        <v>0.5</v>
      </c>
      <c r="D103" s="47">
        <f>1/Q90</f>
        <v>0.25</v>
      </c>
      <c r="E103" s="47">
        <v>2</v>
      </c>
      <c r="F103" s="47">
        <f>1/Q92</f>
        <v>0.16666666666666666</v>
      </c>
      <c r="G103" s="47">
        <v>6</v>
      </c>
      <c r="H103" s="34">
        <v>3</v>
      </c>
      <c r="I103" s="34">
        <f>1/Q95</f>
        <v>0.5</v>
      </c>
      <c r="J103" s="34">
        <f>1/Q96</f>
        <v>0.5</v>
      </c>
      <c r="K103" s="34">
        <v>2</v>
      </c>
      <c r="L103" s="34">
        <v>8</v>
      </c>
      <c r="M103" s="34">
        <v>3</v>
      </c>
      <c r="N103" s="34">
        <v>4</v>
      </c>
      <c r="O103" s="34">
        <f>1/Q101</f>
        <v>0.33333333333333331</v>
      </c>
      <c r="P103" s="34">
        <v>3</v>
      </c>
      <c r="Q103" s="50">
        <v>1</v>
      </c>
      <c r="R103" s="34">
        <v>5</v>
      </c>
    </row>
    <row r="104" spans="1:19 16384:16384" ht="27" x14ac:dyDescent="0.3">
      <c r="B104" s="54" t="s">
        <v>119</v>
      </c>
      <c r="C104" s="47">
        <f>1/R89</f>
        <v>0.25</v>
      </c>
      <c r="D104" s="47">
        <f>1/R90</f>
        <v>0.1111111111111111</v>
      </c>
      <c r="E104" s="47">
        <f>1/R91</f>
        <v>0.25</v>
      </c>
      <c r="F104" s="47">
        <f>1/R92</f>
        <v>0.1111111111111111</v>
      </c>
      <c r="G104" s="47">
        <v>3</v>
      </c>
      <c r="H104" s="34">
        <f>1/R94</f>
        <v>0.25</v>
      </c>
      <c r="I104" s="34">
        <f>1/R95</f>
        <v>0.14285714285714285</v>
      </c>
      <c r="J104" s="34">
        <f>1/R96</f>
        <v>0.16666666666666666</v>
      </c>
      <c r="K104" s="34">
        <f>1/R97</f>
        <v>0.25</v>
      </c>
      <c r="L104" s="34">
        <f>1/R98</f>
        <v>0.5</v>
      </c>
      <c r="M104" s="34">
        <f>1/R99</f>
        <v>0.25</v>
      </c>
      <c r="N104" s="34">
        <f>1/R100</f>
        <v>0.5</v>
      </c>
      <c r="O104" s="34">
        <f>1/R101</f>
        <v>0.16666666666666666</v>
      </c>
      <c r="P104" s="34">
        <f>1/R102</f>
        <v>0.33333333333333331</v>
      </c>
      <c r="Q104" s="34">
        <f>1/R103</f>
        <v>0.2</v>
      </c>
      <c r="R104" s="50">
        <v>1</v>
      </c>
    </row>
    <row r="105" spans="1:19 16384:16384" x14ac:dyDescent="0.25">
      <c r="C105" s="46">
        <f t="shared" ref="C105:R105" si="5">SUM(C89:C104)</f>
        <v>19.642857142857142</v>
      </c>
      <c r="D105" s="46">
        <f t="shared" si="5"/>
        <v>9.8027777777777771</v>
      </c>
      <c r="E105" s="46">
        <f t="shared" si="5"/>
        <v>24.416666666666661</v>
      </c>
      <c r="F105" s="46">
        <f t="shared" si="5"/>
        <v>4.4472222222222229</v>
      </c>
      <c r="G105" s="46">
        <f t="shared" si="5"/>
        <v>88</v>
      </c>
      <c r="H105" s="46">
        <f t="shared" si="5"/>
        <v>43.583333333333336</v>
      </c>
      <c r="I105" s="46">
        <f t="shared" si="5"/>
        <v>10.809523809523808</v>
      </c>
      <c r="J105" s="46">
        <f t="shared" si="5"/>
        <v>20.55952380952381</v>
      </c>
      <c r="K105" s="46">
        <f t="shared" si="5"/>
        <v>26.75</v>
      </c>
      <c r="L105" s="46">
        <f t="shared" si="5"/>
        <v>56.25</v>
      </c>
      <c r="M105" s="46">
        <f t="shared" si="5"/>
        <v>36.61666666666666</v>
      </c>
      <c r="N105" s="46">
        <f t="shared" si="5"/>
        <v>41.583333333333329</v>
      </c>
      <c r="O105" s="46">
        <f t="shared" si="5"/>
        <v>9.7452380952380953</v>
      </c>
      <c r="P105" s="46">
        <f t="shared" si="5"/>
        <v>32.416666666666664</v>
      </c>
      <c r="Q105" s="46">
        <f t="shared" si="5"/>
        <v>22.741666666666664</v>
      </c>
      <c r="R105" s="46">
        <f t="shared" si="5"/>
        <v>70.333333333333329</v>
      </c>
    </row>
    <row r="106" spans="1:19 16384:16384" x14ac:dyDescent="0.25"/>
    <row r="107" spans="1:19 16384:16384" x14ac:dyDescent="0.25"/>
    <row r="108" spans="1:19 16384:16384" ht="26.25" customHeight="1" x14ac:dyDescent="0.25"/>
    <row r="109" spans="1:19 16384:16384" ht="49.5" customHeight="1" x14ac:dyDescent="0.25">
      <c r="C109" s="221" t="s">
        <v>97</v>
      </c>
      <c r="D109" s="221"/>
      <c r="E109" s="221"/>
      <c r="F109" s="221"/>
      <c r="G109" s="221"/>
      <c r="H109" s="221"/>
      <c r="I109" s="221"/>
      <c r="J109" s="221"/>
      <c r="K109" s="221"/>
      <c r="L109" s="221"/>
      <c r="M109" s="221"/>
      <c r="N109" s="221"/>
      <c r="O109" s="221"/>
      <c r="P109" s="221"/>
      <c r="Q109" s="221"/>
      <c r="R109" s="221"/>
      <c r="S109" s="53" t="s">
        <v>99</v>
      </c>
    </row>
    <row r="110" spans="1:19 16384:16384" s="129" customFormat="1" ht="30" customHeight="1" x14ac:dyDescent="0.25">
      <c r="A110" s="24"/>
      <c r="B110" s="44" t="s">
        <v>34</v>
      </c>
      <c r="C110" s="58">
        <f>C89/C$105</f>
        <v>5.0909090909090911E-2</v>
      </c>
      <c r="D110" s="58">
        <f t="shared" ref="D110:R110" si="6">D89/D$105</f>
        <v>2.5502975347123834E-2</v>
      </c>
      <c r="E110" s="58">
        <f t="shared" si="6"/>
        <v>8.1911262798634837E-2</v>
      </c>
      <c r="F110" s="58">
        <f t="shared" si="6"/>
        <v>4.4971892567145531E-2</v>
      </c>
      <c r="G110" s="58">
        <f t="shared" si="6"/>
        <v>7.9545454545454544E-2</v>
      </c>
      <c r="H110" s="58">
        <f t="shared" si="6"/>
        <v>6.8833652007648183E-2</v>
      </c>
      <c r="I110" s="58">
        <f t="shared" si="6"/>
        <v>4.6255506607929521E-2</v>
      </c>
      <c r="J110" s="58">
        <f t="shared" si="6"/>
        <v>2.4319629415170817E-2</v>
      </c>
      <c r="K110" s="58">
        <f t="shared" si="6"/>
        <v>0.11214953271028037</v>
      </c>
      <c r="L110" s="58">
        <f t="shared" si="6"/>
        <v>3.5555555555555556E-2</v>
      </c>
      <c r="M110" s="58">
        <f t="shared" si="6"/>
        <v>0.10923987255348204</v>
      </c>
      <c r="N110" s="58">
        <f t="shared" si="6"/>
        <v>4.8096192384769546E-2</v>
      </c>
      <c r="O110" s="58">
        <f t="shared" si="6"/>
        <v>5.130710969948693E-2</v>
      </c>
      <c r="P110" s="58">
        <f t="shared" si="6"/>
        <v>9.2544987146529575E-2</v>
      </c>
      <c r="Q110" s="58">
        <f t="shared" si="6"/>
        <v>8.7944301942103342E-2</v>
      </c>
      <c r="R110" s="58">
        <f t="shared" si="6"/>
        <v>5.6872037914691947E-2</v>
      </c>
      <c r="S110" s="144">
        <f>AVERAGE(C110:R110)</f>
        <v>6.3497440881568598E-2</v>
      </c>
      <c r="XFD110" s="144">
        <f>S110*$K$45</f>
        <v>1.6932650901751625E-2</v>
      </c>
    </row>
    <row r="111" spans="1:19 16384:16384" s="129" customFormat="1" ht="28.5" customHeight="1" x14ac:dyDescent="0.25">
      <c r="A111" s="24"/>
      <c r="B111" s="44" t="s">
        <v>121</v>
      </c>
      <c r="C111" s="58">
        <f t="shared" ref="C111:R125" si="7">C90/C$105</f>
        <v>0.20363636363636364</v>
      </c>
      <c r="D111" s="58">
        <f t="shared" si="7"/>
        <v>0.10201190138849534</v>
      </c>
      <c r="E111" s="58">
        <f t="shared" si="7"/>
        <v>0.16382252559726967</v>
      </c>
      <c r="F111" s="58">
        <f t="shared" si="7"/>
        <v>7.4953154278575879E-2</v>
      </c>
      <c r="G111" s="58">
        <f t="shared" si="7"/>
        <v>9.0909090909090912E-2</v>
      </c>
      <c r="H111" s="58">
        <f t="shared" si="7"/>
        <v>9.1778202676864234E-2</v>
      </c>
      <c r="I111" s="58">
        <f t="shared" si="7"/>
        <v>0.18502202643171808</v>
      </c>
      <c r="J111" s="58">
        <f t="shared" si="7"/>
        <v>9.7278517660683267E-2</v>
      </c>
      <c r="K111" s="58">
        <f t="shared" si="7"/>
        <v>0.11214953271028037</v>
      </c>
      <c r="L111" s="58">
        <f t="shared" si="7"/>
        <v>8.8888888888888892E-2</v>
      </c>
      <c r="M111" s="58">
        <f t="shared" si="7"/>
        <v>5.461993627674102E-2</v>
      </c>
      <c r="N111" s="58">
        <f t="shared" si="7"/>
        <v>7.2144288577154311E-2</v>
      </c>
      <c r="O111" s="58">
        <f t="shared" si="7"/>
        <v>0.20522843879794772</v>
      </c>
      <c r="P111" s="58">
        <f t="shared" si="7"/>
        <v>0.15424164524421594</v>
      </c>
      <c r="Q111" s="58">
        <f t="shared" si="7"/>
        <v>0.17588860388420668</v>
      </c>
      <c r="R111" s="58">
        <f t="shared" si="7"/>
        <v>0.12796208530805689</v>
      </c>
      <c r="S111" s="144">
        <f>AVERAGE(C111:R111)</f>
        <v>0.12503345014165954</v>
      </c>
      <c r="XFD111" s="144">
        <f t="shared" ref="XFD111:XFD125" si="8">S111*$K$45</f>
        <v>3.3342253371109208E-2</v>
      </c>
    </row>
    <row r="112" spans="1:19 16384:16384" s="129" customFormat="1" ht="26.25" x14ac:dyDescent="0.25">
      <c r="A112" s="24"/>
      <c r="B112" s="44" t="s">
        <v>35</v>
      </c>
      <c r="C112" s="58">
        <f t="shared" si="7"/>
        <v>2.5454545454545455E-2</v>
      </c>
      <c r="D112" s="58">
        <f t="shared" si="7"/>
        <v>2.5502975347123834E-2</v>
      </c>
      <c r="E112" s="58">
        <f t="shared" si="7"/>
        <v>4.0955631399317419E-2</v>
      </c>
      <c r="F112" s="58">
        <f t="shared" si="7"/>
        <v>4.4971892567145531E-2</v>
      </c>
      <c r="G112" s="58">
        <f t="shared" si="7"/>
        <v>6.8181818181818177E-2</v>
      </c>
      <c r="H112" s="58">
        <f t="shared" si="7"/>
        <v>4.5889101338432117E-2</v>
      </c>
      <c r="I112" s="58">
        <f t="shared" si="7"/>
        <v>2.3127753303964761E-2</v>
      </c>
      <c r="J112" s="58">
        <f t="shared" si="7"/>
        <v>2.4319629415170817E-2</v>
      </c>
      <c r="K112" s="58">
        <f t="shared" si="7"/>
        <v>0.11214953271028037</v>
      </c>
      <c r="L112" s="58">
        <f t="shared" si="7"/>
        <v>7.1111111111111111E-2</v>
      </c>
      <c r="M112" s="58">
        <f t="shared" si="7"/>
        <v>0.10923987255348204</v>
      </c>
      <c r="N112" s="58">
        <f t="shared" si="7"/>
        <v>7.2144288577154311E-2</v>
      </c>
      <c r="O112" s="58">
        <f t="shared" si="7"/>
        <v>5.130710969948693E-2</v>
      </c>
      <c r="P112" s="58">
        <f t="shared" si="7"/>
        <v>9.2544987146529575E-2</v>
      </c>
      <c r="Q112" s="58">
        <f t="shared" si="7"/>
        <v>2.1986075485525836E-2</v>
      </c>
      <c r="R112" s="58">
        <f t="shared" si="7"/>
        <v>5.6872037914691947E-2</v>
      </c>
      <c r="S112" s="144">
        <f>AVERAGE(C112:R112)</f>
        <v>5.5359897637861262E-2</v>
      </c>
      <c r="XFD112" s="144">
        <f t="shared" si="8"/>
        <v>1.4762639370096337E-2</v>
      </c>
    </row>
    <row r="113" spans="1:19 16384:16384" s="129" customFormat="1" ht="39" x14ac:dyDescent="0.25">
      <c r="A113" s="24"/>
      <c r="B113" s="44" t="s">
        <v>36</v>
      </c>
      <c r="C113" s="58">
        <f t="shared" si="7"/>
        <v>0.25454545454545457</v>
      </c>
      <c r="D113" s="58">
        <f t="shared" si="7"/>
        <v>0.30603570416548598</v>
      </c>
      <c r="E113" s="58">
        <f t="shared" si="7"/>
        <v>0.20477815699658708</v>
      </c>
      <c r="F113" s="58">
        <f t="shared" si="7"/>
        <v>0.22485946283572764</v>
      </c>
      <c r="G113" s="58">
        <f t="shared" si="7"/>
        <v>0.10227272727272728</v>
      </c>
      <c r="H113" s="58">
        <f t="shared" si="7"/>
        <v>9.1778202676864234E-2</v>
      </c>
      <c r="I113" s="58">
        <f t="shared" si="7"/>
        <v>0.18502202643171808</v>
      </c>
      <c r="J113" s="58">
        <f t="shared" si="7"/>
        <v>0.14591777649102489</v>
      </c>
      <c r="K113" s="58">
        <f t="shared" si="7"/>
        <v>0.18691588785046728</v>
      </c>
      <c r="L113" s="58">
        <f t="shared" si="7"/>
        <v>0.14222222222222222</v>
      </c>
      <c r="M113" s="58">
        <f t="shared" si="7"/>
        <v>0.10923987255348204</v>
      </c>
      <c r="N113" s="58">
        <f t="shared" si="7"/>
        <v>0.14428857715430862</v>
      </c>
      <c r="O113" s="58">
        <f t="shared" si="7"/>
        <v>0.30784265819692158</v>
      </c>
      <c r="P113" s="58">
        <f t="shared" si="7"/>
        <v>0.18508997429305915</v>
      </c>
      <c r="Q113" s="58">
        <f t="shared" si="7"/>
        <v>0.26383290582631003</v>
      </c>
      <c r="R113" s="58">
        <f t="shared" si="7"/>
        <v>0.12796208530805689</v>
      </c>
      <c r="S113" s="144">
        <f>AVERAGE(C113:R113)</f>
        <v>0.18641273092627608</v>
      </c>
      <c r="XFD113" s="144">
        <f t="shared" si="8"/>
        <v>4.971006158034029E-2</v>
      </c>
    </row>
    <row r="114" spans="1:19 16384:16384" s="129" customFormat="1" ht="39" x14ac:dyDescent="0.25">
      <c r="A114" s="24"/>
      <c r="B114" s="44" t="s">
        <v>37</v>
      </c>
      <c r="C114" s="58">
        <f t="shared" si="7"/>
        <v>7.2727272727272727E-3</v>
      </c>
      <c r="D114" s="58">
        <f t="shared" si="7"/>
        <v>1.2751487673561917E-2</v>
      </c>
      <c r="E114" s="58">
        <f t="shared" si="7"/>
        <v>6.825938566552902E-3</v>
      </c>
      <c r="F114" s="58">
        <f t="shared" si="7"/>
        <v>2.4984384759525292E-2</v>
      </c>
      <c r="G114" s="58">
        <f t="shared" si="7"/>
        <v>1.1363636363636364E-2</v>
      </c>
      <c r="H114" s="58">
        <f t="shared" si="7"/>
        <v>7.6481835564053526E-3</v>
      </c>
      <c r="I114" s="58">
        <f t="shared" si="7"/>
        <v>1.156387665198238E-2</v>
      </c>
      <c r="J114" s="58">
        <f t="shared" si="7"/>
        <v>6.9484655471916609E-3</v>
      </c>
      <c r="K114" s="58">
        <f t="shared" si="7"/>
        <v>9.3457943925233638E-3</v>
      </c>
      <c r="L114" s="58">
        <f t="shared" si="7"/>
        <v>4.4444444444444444E-3</v>
      </c>
      <c r="M114" s="58">
        <f t="shared" si="7"/>
        <v>5.461993627674102E-3</v>
      </c>
      <c r="N114" s="58">
        <f t="shared" si="7"/>
        <v>6.0120240480961932E-3</v>
      </c>
      <c r="O114" s="58">
        <f t="shared" si="7"/>
        <v>1.4659174199853407E-2</v>
      </c>
      <c r="P114" s="58">
        <f t="shared" si="7"/>
        <v>5.1413881748071984E-3</v>
      </c>
      <c r="Q114" s="58">
        <f t="shared" si="7"/>
        <v>7.3286918285086116E-3</v>
      </c>
      <c r="R114" s="58">
        <f t="shared" si="7"/>
        <v>4.7393364928909956E-3</v>
      </c>
      <c r="S114" s="144">
        <f>AVERAGE(C114:R114)</f>
        <v>9.1557217250238417E-3</v>
      </c>
      <c r="XFD114" s="144">
        <f t="shared" si="8"/>
        <v>2.4415257933396912E-3</v>
      </c>
    </row>
    <row r="115" spans="1:19 16384:16384" s="129" customFormat="1" x14ac:dyDescent="0.25">
      <c r="A115" s="24"/>
      <c r="B115" s="44" t="s">
        <v>38</v>
      </c>
      <c r="C115" s="58">
        <f t="shared" si="7"/>
        <v>1.6969696969696968E-2</v>
      </c>
      <c r="D115" s="58">
        <f t="shared" si="7"/>
        <v>2.5502975347123834E-2</v>
      </c>
      <c r="E115" s="58">
        <f t="shared" si="7"/>
        <v>2.0477815699658709E-2</v>
      </c>
      <c r="F115" s="58">
        <f t="shared" si="7"/>
        <v>5.6214865708931909E-2</v>
      </c>
      <c r="G115" s="58">
        <f t="shared" si="7"/>
        <v>3.4090909090909088E-2</v>
      </c>
      <c r="H115" s="58">
        <f t="shared" si="7"/>
        <v>2.2944550669216059E-2</v>
      </c>
      <c r="I115" s="58">
        <f t="shared" si="7"/>
        <v>1.156387665198238E-2</v>
      </c>
      <c r="J115" s="58">
        <f t="shared" si="7"/>
        <v>2.4319629415170817E-2</v>
      </c>
      <c r="K115" s="58">
        <f t="shared" si="7"/>
        <v>1.2461059190031152E-2</v>
      </c>
      <c r="L115" s="58">
        <f t="shared" si="7"/>
        <v>8.8888888888888889E-3</v>
      </c>
      <c r="M115" s="58">
        <f t="shared" si="7"/>
        <v>9.1033227127901694E-3</v>
      </c>
      <c r="N115" s="58">
        <f t="shared" si="7"/>
        <v>1.2024048096192386E-2</v>
      </c>
      <c r="O115" s="58">
        <f t="shared" si="7"/>
        <v>2.5653554849743465E-2</v>
      </c>
      <c r="P115" s="58">
        <f t="shared" si="7"/>
        <v>1.5424164524421595E-2</v>
      </c>
      <c r="Q115" s="58">
        <f t="shared" si="7"/>
        <v>1.4657383657017223E-2</v>
      </c>
      <c r="R115" s="58">
        <f t="shared" si="7"/>
        <v>5.6872037914691947E-2</v>
      </c>
      <c r="S115" s="144">
        <f>AVERAGE(C115:R115)</f>
        <v>2.2948048711654165E-2</v>
      </c>
      <c r="XFD115" s="144">
        <f t="shared" si="8"/>
        <v>6.1194796564411104E-3</v>
      </c>
    </row>
    <row r="116" spans="1:19 16384:16384" s="129" customFormat="1" ht="39" x14ac:dyDescent="0.25">
      <c r="A116" s="24"/>
      <c r="B116" s="44" t="s">
        <v>39</v>
      </c>
      <c r="C116" s="58">
        <f t="shared" si="7"/>
        <v>0.10181818181818182</v>
      </c>
      <c r="D116" s="58">
        <f t="shared" si="7"/>
        <v>5.1005950694247668E-2</v>
      </c>
      <c r="E116" s="58">
        <f t="shared" si="7"/>
        <v>0.16382252559726967</v>
      </c>
      <c r="F116" s="58">
        <f t="shared" si="7"/>
        <v>0.11242973141786382</v>
      </c>
      <c r="G116" s="58">
        <f t="shared" si="7"/>
        <v>9.0909090909090912E-2</v>
      </c>
      <c r="H116" s="58">
        <f t="shared" si="7"/>
        <v>0.18355640535372847</v>
      </c>
      <c r="I116" s="58">
        <f t="shared" si="7"/>
        <v>9.2511013215859042E-2</v>
      </c>
      <c r="J116" s="58">
        <f t="shared" si="7"/>
        <v>0.14591777649102489</v>
      </c>
      <c r="K116" s="58">
        <f t="shared" si="7"/>
        <v>7.476635514018691E-2</v>
      </c>
      <c r="L116" s="58">
        <f t="shared" si="7"/>
        <v>7.1111111111111111E-2</v>
      </c>
      <c r="M116" s="58">
        <f t="shared" si="7"/>
        <v>0.10923987255348204</v>
      </c>
      <c r="N116" s="58">
        <f t="shared" si="7"/>
        <v>7.2144288577154311E-2</v>
      </c>
      <c r="O116" s="58">
        <f t="shared" si="7"/>
        <v>5.130710969948693E-2</v>
      </c>
      <c r="P116" s="58">
        <f t="shared" si="7"/>
        <v>6.1696658097686381E-2</v>
      </c>
      <c r="Q116" s="58">
        <f t="shared" si="7"/>
        <v>8.7944301942103342E-2</v>
      </c>
      <c r="R116" s="58">
        <f t="shared" si="7"/>
        <v>9.9526066350710901E-2</v>
      </c>
      <c r="S116" s="144">
        <f>AVERAGE(C116:R116)</f>
        <v>9.8106652435574274E-2</v>
      </c>
      <c r="XFD116" s="144">
        <f t="shared" si="8"/>
        <v>2.6161773982819807E-2</v>
      </c>
    </row>
    <row r="117" spans="1:19 16384:16384" s="129" customFormat="1" ht="51" x14ac:dyDescent="0.25">
      <c r="A117" s="24"/>
      <c r="B117" s="45" t="s">
        <v>40</v>
      </c>
      <c r="C117" s="58">
        <f t="shared" si="7"/>
        <v>0.10181818181818182</v>
      </c>
      <c r="D117" s="58">
        <f t="shared" si="7"/>
        <v>5.1005950694247668E-2</v>
      </c>
      <c r="E117" s="58">
        <f t="shared" si="7"/>
        <v>8.1911262798634837E-2</v>
      </c>
      <c r="F117" s="58">
        <f t="shared" si="7"/>
        <v>7.4953154278575879E-2</v>
      </c>
      <c r="G117" s="58">
        <f t="shared" si="7"/>
        <v>7.9545454545454544E-2</v>
      </c>
      <c r="H117" s="58">
        <f t="shared" si="7"/>
        <v>4.5889101338432117E-2</v>
      </c>
      <c r="I117" s="58">
        <f t="shared" si="7"/>
        <v>3.0837004405286344E-2</v>
      </c>
      <c r="J117" s="58">
        <f t="shared" si="7"/>
        <v>4.8639258830341633E-2</v>
      </c>
      <c r="K117" s="58">
        <f t="shared" si="7"/>
        <v>7.476635514018691E-2</v>
      </c>
      <c r="L117" s="58">
        <f t="shared" si="7"/>
        <v>7.1111111111111111E-2</v>
      </c>
      <c r="M117" s="58">
        <f t="shared" si="7"/>
        <v>5.461993627674102E-2</v>
      </c>
      <c r="N117" s="58">
        <f t="shared" si="7"/>
        <v>4.8096192384769546E-2</v>
      </c>
      <c r="O117" s="58">
        <f t="shared" si="7"/>
        <v>1.4659174199853407E-2</v>
      </c>
      <c r="P117" s="58">
        <f t="shared" si="7"/>
        <v>6.1696658097686381E-2</v>
      </c>
      <c r="Q117" s="58">
        <f t="shared" si="7"/>
        <v>8.7944301942103342E-2</v>
      </c>
      <c r="R117" s="58">
        <f t="shared" si="7"/>
        <v>8.5308056872037921E-2</v>
      </c>
      <c r="S117" s="144">
        <f>AVERAGE(C117:R117)</f>
        <v>6.3300072170852789E-2</v>
      </c>
      <c r="XFD117" s="144">
        <f t="shared" si="8"/>
        <v>1.6880019245560745E-2</v>
      </c>
    </row>
    <row r="118" spans="1:19 16384:16384" s="129" customFormat="1" x14ac:dyDescent="0.25">
      <c r="A118" s="24"/>
      <c r="B118" s="44" t="s">
        <v>41</v>
      </c>
      <c r="C118" s="58">
        <f t="shared" si="7"/>
        <v>1.6969696969696968E-2</v>
      </c>
      <c r="D118" s="58">
        <f t="shared" si="7"/>
        <v>3.4003967129498443E-2</v>
      </c>
      <c r="E118" s="58">
        <f t="shared" si="7"/>
        <v>1.3651877133105804E-2</v>
      </c>
      <c r="F118" s="58">
        <f t="shared" si="7"/>
        <v>4.4971892567145531E-2</v>
      </c>
      <c r="G118" s="58">
        <f t="shared" si="7"/>
        <v>4.5454545454545456E-2</v>
      </c>
      <c r="H118" s="58">
        <f t="shared" si="7"/>
        <v>6.8833652007648183E-2</v>
      </c>
      <c r="I118" s="58">
        <f t="shared" si="7"/>
        <v>4.6255506607929521E-2</v>
      </c>
      <c r="J118" s="58">
        <f t="shared" si="7"/>
        <v>2.4319629415170817E-2</v>
      </c>
      <c r="K118" s="58">
        <f t="shared" si="7"/>
        <v>3.7383177570093455E-2</v>
      </c>
      <c r="L118" s="58">
        <f t="shared" si="7"/>
        <v>5.3333333333333337E-2</v>
      </c>
      <c r="M118" s="58">
        <f t="shared" si="7"/>
        <v>8.1929904415111526E-2</v>
      </c>
      <c r="N118" s="58">
        <f t="shared" si="7"/>
        <v>9.6192384769539091E-2</v>
      </c>
      <c r="O118" s="58">
        <f t="shared" si="7"/>
        <v>5.130710969948693E-2</v>
      </c>
      <c r="P118" s="58">
        <f t="shared" si="7"/>
        <v>1.5424164524421595E-2</v>
      </c>
      <c r="Q118" s="58">
        <f t="shared" si="7"/>
        <v>2.1986075485525836E-2</v>
      </c>
      <c r="R118" s="58">
        <f t="shared" si="7"/>
        <v>5.6872037914691947E-2</v>
      </c>
      <c r="S118" s="144">
        <f>AVERAGE(C118:R118)</f>
        <v>4.430555968730903E-2</v>
      </c>
      <c r="XFD118" s="144">
        <f t="shared" si="8"/>
        <v>1.1814815916615741E-2</v>
      </c>
    </row>
    <row r="119" spans="1:19 16384:16384" s="129" customFormat="1" ht="26.25" x14ac:dyDescent="0.25">
      <c r="A119" s="24"/>
      <c r="B119" s="44" t="s">
        <v>42</v>
      </c>
      <c r="C119" s="58">
        <f t="shared" si="7"/>
        <v>2.5454545454545455E-2</v>
      </c>
      <c r="D119" s="58">
        <f t="shared" si="7"/>
        <v>2.0402380277699066E-2</v>
      </c>
      <c r="E119" s="58">
        <f t="shared" si="7"/>
        <v>1.0238907849829355E-2</v>
      </c>
      <c r="F119" s="58">
        <f t="shared" si="7"/>
        <v>2.8107432854465954E-2</v>
      </c>
      <c r="G119" s="58">
        <f t="shared" si="7"/>
        <v>4.5454545454545456E-2</v>
      </c>
      <c r="H119" s="58">
        <f t="shared" si="7"/>
        <v>4.5889101338432117E-2</v>
      </c>
      <c r="I119" s="58">
        <f t="shared" si="7"/>
        <v>2.3127753303964761E-2</v>
      </c>
      <c r="J119" s="58">
        <f t="shared" si="7"/>
        <v>1.2159814707585408E-2</v>
      </c>
      <c r="K119" s="58">
        <f t="shared" si="7"/>
        <v>1.2461059190031152E-2</v>
      </c>
      <c r="L119" s="58">
        <f t="shared" si="7"/>
        <v>1.7777777777777778E-2</v>
      </c>
      <c r="M119" s="58">
        <f t="shared" si="7"/>
        <v>1.3654984069185255E-2</v>
      </c>
      <c r="N119" s="58">
        <f t="shared" si="7"/>
        <v>8.0160320641282576E-3</v>
      </c>
      <c r="O119" s="58">
        <f t="shared" si="7"/>
        <v>1.4659174199853407E-2</v>
      </c>
      <c r="P119" s="58">
        <f t="shared" si="7"/>
        <v>7.7120822622107977E-3</v>
      </c>
      <c r="Q119" s="58">
        <f t="shared" si="7"/>
        <v>5.4965188713814589E-3</v>
      </c>
      <c r="R119" s="58">
        <f t="shared" si="7"/>
        <v>2.8436018957345974E-2</v>
      </c>
      <c r="S119" s="144">
        <f>AVERAGE(C119:R119)</f>
        <v>1.9940508039561357E-2</v>
      </c>
      <c r="XFD119" s="144">
        <f t="shared" si="8"/>
        <v>5.3174688105496947E-3</v>
      </c>
    </row>
    <row r="120" spans="1:19 16384:16384" s="129" customFormat="1" ht="26.25" x14ac:dyDescent="0.25">
      <c r="A120" s="24"/>
      <c r="B120" s="44" t="s">
        <v>43</v>
      </c>
      <c r="C120" s="58">
        <f t="shared" si="7"/>
        <v>1.2727272727272728E-2</v>
      </c>
      <c r="D120" s="58">
        <f t="shared" si="7"/>
        <v>5.1005950694247668E-2</v>
      </c>
      <c r="E120" s="58">
        <f t="shared" si="7"/>
        <v>1.0238907849829355E-2</v>
      </c>
      <c r="F120" s="58">
        <f t="shared" si="7"/>
        <v>5.6214865708931909E-2</v>
      </c>
      <c r="G120" s="58">
        <f t="shared" si="7"/>
        <v>5.6818181818181816E-2</v>
      </c>
      <c r="H120" s="58">
        <f t="shared" si="7"/>
        <v>6.8833652007648183E-2</v>
      </c>
      <c r="I120" s="58">
        <f t="shared" si="7"/>
        <v>2.3127753303964761E-2</v>
      </c>
      <c r="J120" s="58">
        <f t="shared" si="7"/>
        <v>2.4319629415170817E-2</v>
      </c>
      <c r="K120" s="58">
        <f t="shared" si="7"/>
        <v>1.2461059190031152E-2</v>
      </c>
      <c r="L120" s="58">
        <f t="shared" si="7"/>
        <v>3.5555555555555556E-2</v>
      </c>
      <c r="M120" s="58">
        <f t="shared" si="7"/>
        <v>2.730996813837051E-2</v>
      </c>
      <c r="N120" s="58">
        <f t="shared" si="7"/>
        <v>7.2144288577154311E-2</v>
      </c>
      <c r="O120" s="58">
        <f t="shared" si="7"/>
        <v>2.0522843879794774E-2</v>
      </c>
      <c r="P120" s="58">
        <f t="shared" si="7"/>
        <v>1.0282776349614397E-2</v>
      </c>
      <c r="Q120" s="58">
        <f t="shared" si="7"/>
        <v>1.4657383657017223E-2</v>
      </c>
      <c r="R120" s="58">
        <f t="shared" si="7"/>
        <v>5.6872037914691947E-2</v>
      </c>
      <c r="S120" s="144">
        <f>AVERAGE(C120:R120)</f>
        <v>3.4568257924217319E-2</v>
      </c>
      <c r="XFD120" s="144">
        <f t="shared" si="8"/>
        <v>9.218202113124619E-3</v>
      </c>
    </row>
    <row r="121" spans="1:19 16384:16384" s="129" customFormat="1" ht="26.25" x14ac:dyDescent="0.25">
      <c r="A121" s="24"/>
      <c r="B121" s="44" t="s">
        <v>44</v>
      </c>
      <c r="C121" s="58">
        <f t="shared" si="7"/>
        <v>2.5454545454545455E-2</v>
      </c>
      <c r="D121" s="58">
        <f t="shared" si="7"/>
        <v>3.4003967129498443E-2</v>
      </c>
      <c r="E121" s="58">
        <f t="shared" si="7"/>
        <v>1.3651877133105804E-2</v>
      </c>
      <c r="F121" s="58">
        <f t="shared" si="7"/>
        <v>3.7476577139287939E-2</v>
      </c>
      <c r="G121" s="58">
        <f t="shared" si="7"/>
        <v>4.5454545454545456E-2</v>
      </c>
      <c r="H121" s="58">
        <f t="shared" si="7"/>
        <v>4.5889101338432117E-2</v>
      </c>
      <c r="I121" s="58">
        <f t="shared" si="7"/>
        <v>3.0837004405286344E-2</v>
      </c>
      <c r="J121" s="58">
        <f t="shared" si="7"/>
        <v>2.4319629415170817E-2</v>
      </c>
      <c r="K121" s="58">
        <f t="shared" si="7"/>
        <v>9.3457943925233638E-3</v>
      </c>
      <c r="L121" s="58">
        <f t="shared" si="7"/>
        <v>5.3333333333333337E-2</v>
      </c>
      <c r="M121" s="58">
        <f t="shared" si="7"/>
        <v>9.1033227127901694E-3</v>
      </c>
      <c r="N121" s="58">
        <f t="shared" si="7"/>
        <v>2.4048096192384773E-2</v>
      </c>
      <c r="O121" s="58">
        <f t="shared" si="7"/>
        <v>1.7102369899828974E-2</v>
      </c>
      <c r="P121" s="58">
        <f t="shared" si="7"/>
        <v>1.0282776349614397E-2</v>
      </c>
      <c r="Q121" s="58">
        <f t="shared" si="7"/>
        <v>1.0993037742762918E-2</v>
      </c>
      <c r="R121" s="58">
        <f t="shared" si="7"/>
        <v>2.8436018957345974E-2</v>
      </c>
      <c r="S121" s="144">
        <f>AVERAGE(C121:R121)</f>
        <v>2.6233249815653521E-2</v>
      </c>
      <c r="XFD121" s="144">
        <f t="shared" si="8"/>
        <v>6.9955332841742717E-3</v>
      </c>
    </row>
    <row r="122" spans="1:19 16384:16384" s="129" customFormat="1" ht="26.25" x14ac:dyDescent="0.25">
      <c r="A122" s="24"/>
      <c r="B122" s="44" t="s">
        <v>45</v>
      </c>
      <c r="C122" s="58">
        <f t="shared" si="7"/>
        <v>0.10181818181818182</v>
      </c>
      <c r="D122" s="58">
        <f t="shared" si="7"/>
        <v>0.20402380277699067</v>
      </c>
      <c r="E122" s="58">
        <f t="shared" si="7"/>
        <v>8.1911262798634837E-2</v>
      </c>
      <c r="F122" s="58">
        <f t="shared" si="7"/>
        <v>7.4953154278575879E-2</v>
      </c>
      <c r="G122" s="58">
        <f t="shared" si="7"/>
        <v>7.9545454545454544E-2</v>
      </c>
      <c r="H122" s="58">
        <f t="shared" si="7"/>
        <v>9.1778202676864234E-2</v>
      </c>
      <c r="I122" s="58">
        <f t="shared" si="7"/>
        <v>0.18502202643171808</v>
      </c>
      <c r="J122" s="58">
        <f t="shared" si="7"/>
        <v>0.34047481181239142</v>
      </c>
      <c r="K122" s="58">
        <f t="shared" si="7"/>
        <v>7.476635514018691E-2</v>
      </c>
      <c r="L122" s="58">
        <f t="shared" si="7"/>
        <v>0.12444444444444444</v>
      </c>
      <c r="M122" s="58">
        <f t="shared" si="7"/>
        <v>0.13654984069185255</v>
      </c>
      <c r="N122" s="58">
        <f t="shared" si="7"/>
        <v>0.14428857715430862</v>
      </c>
      <c r="O122" s="58">
        <f t="shared" si="7"/>
        <v>0.10261421939897386</v>
      </c>
      <c r="P122" s="58">
        <f t="shared" si="7"/>
        <v>0.15424164524421594</v>
      </c>
      <c r="Q122" s="58">
        <f t="shared" si="7"/>
        <v>0.13191645291315501</v>
      </c>
      <c r="R122" s="58">
        <f t="shared" si="7"/>
        <v>8.5308056872037921E-2</v>
      </c>
      <c r="S122" s="144">
        <f>AVERAGE(C122:R122)</f>
        <v>0.13210353056237417</v>
      </c>
      <c r="XFD122" s="144">
        <f t="shared" si="8"/>
        <v>3.5227608149966443E-2</v>
      </c>
    </row>
    <row r="123" spans="1:19 16384:16384" s="129" customFormat="1" x14ac:dyDescent="0.25">
      <c r="A123" s="24"/>
      <c r="B123" s="44" t="s">
        <v>46</v>
      </c>
      <c r="C123" s="58">
        <f t="shared" si="7"/>
        <v>1.6969696969696968E-2</v>
      </c>
      <c r="D123" s="58">
        <f t="shared" si="7"/>
        <v>2.0402380277699066E-2</v>
      </c>
      <c r="E123" s="58">
        <f t="shared" si="7"/>
        <v>1.3651877133105804E-2</v>
      </c>
      <c r="F123" s="58">
        <f t="shared" si="7"/>
        <v>3.7476577139287939E-2</v>
      </c>
      <c r="G123" s="58">
        <f t="shared" si="7"/>
        <v>6.8181818181818177E-2</v>
      </c>
      <c r="H123" s="58">
        <f t="shared" si="7"/>
        <v>4.5889101338432117E-2</v>
      </c>
      <c r="I123" s="58">
        <f t="shared" si="7"/>
        <v>4.6255506607929521E-2</v>
      </c>
      <c r="J123" s="58">
        <f t="shared" si="7"/>
        <v>2.4319629415170817E-2</v>
      </c>
      <c r="K123" s="58">
        <f t="shared" si="7"/>
        <v>7.476635514018691E-2</v>
      </c>
      <c r="L123" s="58">
        <f t="shared" si="7"/>
        <v>7.1111111111111111E-2</v>
      </c>
      <c r="M123" s="58">
        <f t="shared" si="7"/>
        <v>8.1929904415111526E-2</v>
      </c>
      <c r="N123" s="58">
        <f t="shared" si="7"/>
        <v>7.2144288577154311E-2</v>
      </c>
      <c r="O123" s="58">
        <f t="shared" si="7"/>
        <v>2.0522843879794774E-2</v>
      </c>
      <c r="P123" s="58">
        <f t="shared" si="7"/>
        <v>3.0848329048843191E-2</v>
      </c>
      <c r="Q123" s="58">
        <f t="shared" si="7"/>
        <v>1.4657383657017223E-2</v>
      </c>
      <c r="R123" s="58">
        <f t="shared" si="7"/>
        <v>4.2654028436018961E-2</v>
      </c>
      <c r="S123" s="144">
        <f>AVERAGE(C123:R123)</f>
        <v>4.2611301958023644E-2</v>
      </c>
      <c r="XFD123" s="144">
        <f t="shared" si="8"/>
        <v>1.1363013855472972E-2</v>
      </c>
    </row>
    <row r="124" spans="1:19 16384:16384" s="129" customFormat="1" ht="51.75" x14ac:dyDescent="0.25">
      <c r="A124" s="24"/>
      <c r="B124" s="44" t="s">
        <v>47</v>
      </c>
      <c r="C124" s="58">
        <f t="shared" si="7"/>
        <v>2.5454545454545455E-2</v>
      </c>
      <c r="D124" s="58">
        <f t="shared" si="7"/>
        <v>2.5502975347123834E-2</v>
      </c>
      <c r="E124" s="58">
        <f t="shared" si="7"/>
        <v>8.1911262798634837E-2</v>
      </c>
      <c r="F124" s="58">
        <f t="shared" si="7"/>
        <v>3.7476577139287939E-2</v>
      </c>
      <c r="G124" s="58">
        <f t="shared" si="7"/>
        <v>6.8181818181818177E-2</v>
      </c>
      <c r="H124" s="58">
        <f t="shared" si="7"/>
        <v>6.8833652007648183E-2</v>
      </c>
      <c r="I124" s="58">
        <f t="shared" si="7"/>
        <v>4.6255506607929521E-2</v>
      </c>
      <c r="J124" s="58">
        <f t="shared" si="7"/>
        <v>2.4319629415170817E-2</v>
      </c>
      <c r="K124" s="58">
        <f t="shared" si="7"/>
        <v>7.476635514018691E-2</v>
      </c>
      <c r="L124" s="58">
        <f t="shared" si="7"/>
        <v>0.14222222222222222</v>
      </c>
      <c r="M124" s="58">
        <f t="shared" si="7"/>
        <v>8.1929904415111526E-2</v>
      </c>
      <c r="N124" s="58">
        <f t="shared" si="7"/>
        <v>9.6192384769539091E-2</v>
      </c>
      <c r="O124" s="58">
        <f t="shared" si="7"/>
        <v>3.4204739799657949E-2</v>
      </c>
      <c r="P124" s="58">
        <f t="shared" si="7"/>
        <v>9.2544987146529575E-2</v>
      </c>
      <c r="Q124" s="58">
        <f t="shared" si="7"/>
        <v>4.3972150971051671E-2</v>
      </c>
      <c r="R124" s="58">
        <f t="shared" si="7"/>
        <v>7.1090047393364927E-2</v>
      </c>
      <c r="S124" s="144">
        <f>AVERAGE(C124:R124)</f>
        <v>6.3428672425613911E-2</v>
      </c>
      <c r="XFD124" s="144">
        <f t="shared" si="8"/>
        <v>1.6914312646830375E-2</v>
      </c>
    </row>
    <row r="125" spans="1:19 16384:16384" s="129" customFormat="1" ht="26.25" x14ac:dyDescent="0.25">
      <c r="A125" s="24"/>
      <c r="B125" s="57" t="s">
        <v>119</v>
      </c>
      <c r="C125" s="58">
        <f t="shared" si="7"/>
        <v>1.2727272727272728E-2</v>
      </c>
      <c r="D125" s="58">
        <f t="shared" si="7"/>
        <v>1.1334655709832813E-2</v>
      </c>
      <c r="E125" s="58">
        <f t="shared" si="7"/>
        <v>1.0238907849829355E-2</v>
      </c>
      <c r="F125" s="58">
        <f t="shared" si="7"/>
        <v>2.4984384759525292E-2</v>
      </c>
      <c r="G125" s="58">
        <f t="shared" si="7"/>
        <v>3.4090909090909088E-2</v>
      </c>
      <c r="H125" s="58">
        <f t="shared" si="7"/>
        <v>5.7361376673040147E-3</v>
      </c>
      <c r="I125" s="58">
        <f t="shared" si="7"/>
        <v>1.3215859030837005E-2</v>
      </c>
      <c r="J125" s="58">
        <f t="shared" si="7"/>
        <v>8.1065431383902722E-3</v>
      </c>
      <c r="K125" s="58">
        <f t="shared" si="7"/>
        <v>9.3457943925233638E-3</v>
      </c>
      <c r="L125" s="58">
        <f t="shared" si="7"/>
        <v>8.8888888888888889E-3</v>
      </c>
      <c r="M125" s="58">
        <f t="shared" si="7"/>
        <v>6.8274920345926275E-3</v>
      </c>
      <c r="N125" s="58">
        <f t="shared" si="7"/>
        <v>1.2024048096192386E-2</v>
      </c>
      <c r="O125" s="58">
        <f t="shared" si="7"/>
        <v>1.7102369899828974E-2</v>
      </c>
      <c r="P125" s="58">
        <f t="shared" si="7"/>
        <v>1.0282776349614397E-2</v>
      </c>
      <c r="Q125" s="58">
        <f t="shared" si="7"/>
        <v>8.794430194210336E-3</v>
      </c>
      <c r="R125" s="58">
        <f t="shared" si="7"/>
        <v>1.4218009478672987E-2</v>
      </c>
      <c r="S125" s="144">
        <f>AVERAGE(C125:R125)</f>
        <v>1.2994904956776533E-2</v>
      </c>
      <c r="XFD125" s="144">
        <f t="shared" si="8"/>
        <v>3.465307988473742E-3</v>
      </c>
    </row>
    <row r="126" spans="1:19 16384:16384" x14ac:dyDescent="0.25">
      <c r="C126" s="58">
        <f>SUM(C110:C125)</f>
        <v>1.0000000000000002</v>
      </c>
      <c r="D126" s="58">
        <f t="shared" ref="D126:R126" si="9">SUM(D110:D125)</f>
        <v>1</v>
      </c>
      <c r="E126" s="58">
        <f t="shared" si="9"/>
        <v>1.0000000000000002</v>
      </c>
      <c r="F126" s="58">
        <f t="shared" si="9"/>
        <v>0.99999999999999978</v>
      </c>
      <c r="G126" s="58">
        <f t="shared" si="9"/>
        <v>0.99999999999999989</v>
      </c>
      <c r="H126" s="58">
        <f t="shared" si="9"/>
        <v>1</v>
      </c>
      <c r="I126" s="58">
        <f t="shared" si="9"/>
        <v>1.0000000000000002</v>
      </c>
      <c r="J126" s="58">
        <f t="shared" si="9"/>
        <v>1</v>
      </c>
      <c r="K126" s="58">
        <f t="shared" si="9"/>
        <v>1</v>
      </c>
      <c r="L126" s="58">
        <f t="shared" si="9"/>
        <v>1</v>
      </c>
      <c r="M126" s="58">
        <f t="shared" si="9"/>
        <v>1</v>
      </c>
      <c r="N126" s="58">
        <f t="shared" si="9"/>
        <v>1</v>
      </c>
      <c r="O126" s="58">
        <f t="shared" si="9"/>
        <v>0.99999999999999989</v>
      </c>
      <c r="P126" s="58">
        <f t="shared" si="9"/>
        <v>1.0000000000000002</v>
      </c>
      <c r="Q126" s="58">
        <f t="shared" si="9"/>
        <v>1</v>
      </c>
      <c r="R126" s="58">
        <f t="shared" si="9"/>
        <v>1</v>
      </c>
    </row>
    <row r="127" spans="1:19 16384:16384" x14ac:dyDescent="0.25"/>
    <row r="128" spans="1:19 16384:16384" ht="32.25" customHeight="1" x14ac:dyDescent="0.25">
      <c r="C128" s="70" t="s">
        <v>132</v>
      </c>
      <c r="E128" s="70" t="s">
        <v>133</v>
      </c>
    </row>
    <row r="129" spans="3:14" x14ac:dyDescent="0.25">
      <c r="C129" s="131" cm="1">
        <f t="array" ref="C129:C144">MMULT(C89:R104,S110:S125)</f>
        <v>1.1926555676941222</v>
      </c>
      <c r="E129" s="131">
        <f t="shared" ref="E129:E144" si="10">C129/S110</f>
        <v>18.782734408439982</v>
      </c>
    </row>
    <row r="130" spans="3:14" x14ac:dyDescent="0.25">
      <c r="C130" s="131">
        <v>2.3788396888379055</v>
      </c>
      <c r="E130" s="131">
        <f t="shared" si="10"/>
        <v>19.025626231562388</v>
      </c>
    </row>
    <row r="131" spans="3:14" x14ac:dyDescent="0.25">
      <c r="C131" s="131">
        <v>1.0198877733262606</v>
      </c>
      <c r="E131" s="131">
        <f t="shared" si="10"/>
        <v>18.422862339773328</v>
      </c>
      <c r="J131" s="212" t="s">
        <v>113</v>
      </c>
      <c r="K131" s="212"/>
    </row>
    <row r="132" spans="3:14" x14ac:dyDescent="0.25">
      <c r="C132" s="131">
        <v>3.5423359616477055</v>
      </c>
      <c r="E132" s="131">
        <f t="shared" si="10"/>
        <v>19.002650430826289</v>
      </c>
      <c r="J132" s="212"/>
      <c r="K132" s="212"/>
      <c r="M132" s="133">
        <f>(H136-16)/(16-1)</f>
        <v>0.13867712495840673</v>
      </c>
    </row>
    <row r="133" spans="3:14" x14ac:dyDescent="0.25">
      <c r="C133" s="131">
        <v>0.16316106777606318</v>
      </c>
      <c r="E133" s="131">
        <f t="shared" si="10"/>
        <v>17.820666974851544</v>
      </c>
      <c r="J133" s="217" t="s">
        <v>115</v>
      </c>
      <c r="K133" s="217"/>
      <c r="M133" s="41"/>
    </row>
    <row r="134" spans="3:14" x14ac:dyDescent="0.25">
      <c r="C134" s="131">
        <v>0.39786808495973536</v>
      </c>
      <c r="E134" s="131">
        <f t="shared" si="10"/>
        <v>17.337774115743361</v>
      </c>
      <c r="J134" s="217"/>
      <c r="K134" s="217"/>
      <c r="M134" s="133">
        <f>(1.98*(16-2))/16</f>
        <v>1.7324999999999999</v>
      </c>
    </row>
    <row r="135" spans="3:14" x14ac:dyDescent="0.25">
      <c r="C135" s="131">
        <v>1.8034365767126979</v>
      </c>
      <c r="E135" s="131">
        <f t="shared" si="10"/>
        <v>18.382408653653716</v>
      </c>
      <c r="H135" s="3" t="s">
        <v>112</v>
      </c>
      <c r="J135" s="218" t="s">
        <v>117</v>
      </c>
      <c r="K135" s="219"/>
      <c r="M135" s="41"/>
    </row>
    <row r="136" spans="3:14" ht="15.75" x14ac:dyDescent="0.25">
      <c r="C136" s="131">
        <v>1.167254896690989</v>
      </c>
      <c r="E136" s="131">
        <f t="shared" si="10"/>
        <v>18.440024737103922</v>
      </c>
      <c r="G136" s="38" t="s">
        <v>111</v>
      </c>
      <c r="H136" s="39">
        <f>AVERAGE(E129:E144)</f>
        <v>18.080156874376101</v>
      </c>
      <c r="J136" s="219"/>
      <c r="K136" s="219"/>
      <c r="M136" s="133">
        <f>M132/M134</f>
        <v>8.0044516570508942E-2</v>
      </c>
      <c r="N136" s="3" t="str">
        <f>IF(M136&gt;10%,"Inconsistente","Concistente")</f>
        <v>Concistente</v>
      </c>
    </row>
    <row r="137" spans="3:14" x14ac:dyDescent="0.25">
      <c r="C137" s="131">
        <v>0.78856610021859419</v>
      </c>
      <c r="E137" s="131">
        <f t="shared" si="10"/>
        <v>17.798355461119986</v>
      </c>
    </row>
    <row r="138" spans="3:14" x14ac:dyDescent="0.25">
      <c r="C138" s="131">
        <v>0.34094836761577679</v>
      </c>
      <c r="E138" s="131">
        <f t="shared" si="10"/>
        <v>17.098278887345582</v>
      </c>
    </row>
    <row r="139" spans="3:14" x14ac:dyDescent="0.25">
      <c r="C139" s="131">
        <v>0.59129822380018826</v>
      </c>
      <c r="E139" s="131">
        <f t="shared" si="10"/>
        <v>17.105236402033015</v>
      </c>
    </row>
    <row r="140" spans="3:14" x14ac:dyDescent="0.25">
      <c r="C140" s="131">
        <v>0.45654177967295612</v>
      </c>
      <c r="E140" s="131">
        <f t="shared" si="10"/>
        <v>17.403172800974708</v>
      </c>
    </row>
    <row r="141" spans="3:14" x14ac:dyDescent="0.25">
      <c r="C141" s="131">
        <v>2.5169661628230537</v>
      </c>
      <c r="E141" s="131">
        <f t="shared" si="10"/>
        <v>19.052981794719255</v>
      </c>
    </row>
    <row r="142" spans="3:14" x14ac:dyDescent="0.25">
      <c r="C142" s="131">
        <v>0.75716566993436152</v>
      </c>
      <c r="E142" s="131">
        <f t="shared" si="10"/>
        <v>17.769127793378498</v>
      </c>
    </row>
    <row r="143" spans="3:14" x14ac:dyDescent="0.25">
      <c r="C143" s="131">
        <v>1.1663220755253541</v>
      </c>
      <c r="E143" s="131">
        <f t="shared" si="10"/>
        <v>18.387931371150174</v>
      </c>
    </row>
    <row r="144" spans="3:14" x14ac:dyDescent="0.25">
      <c r="C144" s="131">
        <v>0.22679588648877211</v>
      </c>
      <c r="E144" s="131">
        <f t="shared" si="10"/>
        <v>17.452677587341913</v>
      </c>
    </row>
    <row r="145" spans="2:18" x14ac:dyDescent="0.25"/>
    <row r="146" spans="2:18" x14ac:dyDescent="0.25"/>
    <row r="147" spans="2:18" x14ac:dyDescent="0.25"/>
    <row r="148" spans="2:18" x14ac:dyDescent="0.25"/>
    <row r="149" spans="2:18" ht="18.75" x14ac:dyDescent="0.3">
      <c r="C149" s="220" t="s">
        <v>123</v>
      </c>
      <c r="D149" s="220"/>
      <c r="E149" s="220"/>
      <c r="F149" s="220"/>
      <c r="G149" s="220"/>
      <c r="H149" s="220"/>
      <c r="I149" s="220"/>
      <c r="J149" s="220"/>
      <c r="K149" s="220"/>
      <c r="L149" s="220"/>
      <c r="M149" s="220"/>
      <c r="N149" s="220"/>
      <c r="O149" s="220"/>
      <c r="P149" s="220"/>
      <c r="Q149" s="220"/>
      <c r="R149" s="220"/>
    </row>
    <row r="150" spans="2:18" ht="43.5" customHeight="1" x14ac:dyDescent="0.25">
      <c r="B150" s="59" t="s">
        <v>124</v>
      </c>
      <c r="C150" s="117" t="s">
        <v>125</v>
      </c>
      <c r="D150" s="117" t="s">
        <v>49</v>
      </c>
      <c r="E150" s="117" t="s">
        <v>50</v>
      </c>
      <c r="F150" s="222" t="s">
        <v>97</v>
      </c>
      <c r="G150" s="222"/>
      <c r="H150" s="222"/>
      <c r="I150" s="60" t="s">
        <v>126</v>
      </c>
      <c r="L150" s="117" t="s">
        <v>132</v>
      </c>
      <c r="N150" s="117" t="s">
        <v>133</v>
      </c>
    </row>
    <row r="151" spans="2:18" ht="36.75" customHeight="1" x14ac:dyDescent="0.25">
      <c r="B151" s="116" t="s">
        <v>125</v>
      </c>
      <c r="C151" s="61">
        <v>1</v>
      </c>
      <c r="D151" s="62">
        <v>6</v>
      </c>
      <c r="E151" s="62">
        <f>1/C153</f>
        <v>0.5</v>
      </c>
      <c r="F151" s="137">
        <f>C151/C$154</f>
        <v>0.31578947368421051</v>
      </c>
      <c r="G151" s="137">
        <f t="shared" ref="G151:H153" si="11">D151/D$154</f>
        <v>0.46153846153846156</v>
      </c>
      <c r="H151" s="137">
        <f t="shared" si="11"/>
        <v>0.30000000000000004</v>
      </c>
      <c r="I151" s="147">
        <f>AVERAGE(F151:H151)</f>
        <v>0.35910931174089072</v>
      </c>
      <c r="J151" s="144">
        <f>I151*$K$46</f>
        <v>4.7881241565452093E-2</v>
      </c>
      <c r="L151" s="131" cm="1">
        <f t="array" ref="L151:L153">MMULT(C151:E153,I151:I153)</f>
        <v>1.1004048582995951</v>
      </c>
      <c r="N151" s="131">
        <f>L151/I151</f>
        <v>3.0642615558060875</v>
      </c>
      <c r="Q151" s="3" t="s">
        <v>112</v>
      </c>
    </row>
    <row r="152" spans="2:18" ht="43.5" customHeight="1" x14ac:dyDescent="0.25">
      <c r="B152" s="116" t="s">
        <v>49</v>
      </c>
      <c r="C152" s="62">
        <f>1/D151</f>
        <v>0.16666666666666666</v>
      </c>
      <c r="D152" s="61">
        <v>1</v>
      </c>
      <c r="E152" s="62">
        <f>1/D153</f>
        <v>0.16666666666666666</v>
      </c>
      <c r="F152" s="137">
        <f t="shared" ref="F152:F153" si="12">C152/C$154</f>
        <v>5.2631578947368411E-2</v>
      </c>
      <c r="G152" s="137">
        <f t="shared" si="11"/>
        <v>7.6923076923076927E-2</v>
      </c>
      <c r="H152" s="137">
        <f t="shared" si="11"/>
        <v>0.1</v>
      </c>
      <c r="I152" s="147">
        <f t="shared" ref="I152:I153" si="13">AVERAGE(F152:H152)</f>
        <v>7.6518218623481779E-2</v>
      </c>
      <c r="J152" s="144">
        <f t="shared" ref="J152:J153" si="14">I152*$K$46</f>
        <v>1.0202429149797571E-2</v>
      </c>
      <c r="L152" s="131">
        <v>0.23043184885290147</v>
      </c>
      <c r="N152" s="131">
        <f t="shared" ref="N152:N153" si="15">L152/I152</f>
        <v>3.011463844797178</v>
      </c>
      <c r="P152" s="38" t="s">
        <v>111</v>
      </c>
      <c r="Q152" s="132">
        <f>AVERAGE(N151:N153)</f>
        <v>3.0539362047921936</v>
      </c>
    </row>
    <row r="153" spans="2:18" ht="62.25" customHeight="1" x14ac:dyDescent="0.25">
      <c r="B153" s="116" t="s">
        <v>50</v>
      </c>
      <c r="C153" s="62">
        <v>2</v>
      </c>
      <c r="D153" s="62">
        <v>6</v>
      </c>
      <c r="E153" s="61">
        <v>1</v>
      </c>
      <c r="F153" s="137">
        <f t="shared" si="12"/>
        <v>0.63157894736842102</v>
      </c>
      <c r="G153" s="137">
        <f t="shared" si="11"/>
        <v>0.46153846153846156</v>
      </c>
      <c r="H153" s="137">
        <f t="shared" si="11"/>
        <v>0.60000000000000009</v>
      </c>
      <c r="I153" s="147">
        <f t="shared" si="13"/>
        <v>0.56437246963562748</v>
      </c>
      <c r="J153" s="144">
        <f t="shared" si="14"/>
        <v>7.5249662618083663E-2</v>
      </c>
      <c r="L153" s="131">
        <v>1.7417004048582996</v>
      </c>
      <c r="N153" s="131">
        <f t="shared" si="15"/>
        <v>3.0860832137733145</v>
      </c>
    </row>
    <row r="154" spans="2:18" x14ac:dyDescent="0.25">
      <c r="C154">
        <f>SUM(C151:C153)</f>
        <v>3.166666666666667</v>
      </c>
      <c r="D154">
        <f t="shared" ref="D154:E154" si="16">SUM(D151:D153)</f>
        <v>13</v>
      </c>
      <c r="E154">
        <f t="shared" si="16"/>
        <v>1.6666666666666665</v>
      </c>
      <c r="F154">
        <f>SUM(F151:F153)</f>
        <v>1</v>
      </c>
      <c r="G154">
        <f t="shared" ref="G154:H154" si="17">SUM(G151:G153)</f>
        <v>1</v>
      </c>
      <c r="H154">
        <f t="shared" si="17"/>
        <v>1</v>
      </c>
      <c r="I154"/>
    </row>
    <row r="155" spans="2:18" x14ac:dyDescent="0.25"/>
    <row r="156" spans="2:18" x14ac:dyDescent="0.25"/>
    <row r="157" spans="2:18" x14ac:dyDescent="0.25"/>
    <row r="158" spans="2:18" x14ac:dyDescent="0.25"/>
    <row r="159" spans="2:18" x14ac:dyDescent="0.25">
      <c r="E159" s="212" t="s">
        <v>113</v>
      </c>
      <c r="F159" s="212"/>
    </row>
    <row r="160" spans="2:18" x14ac:dyDescent="0.25">
      <c r="E160" s="212"/>
      <c r="F160" s="212"/>
      <c r="H160" s="133">
        <f>(Q152-3)/(3-1)</f>
        <v>2.6968102396096816E-2</v>
      </c>
    </row>
    <row r="161" spans="2:18" x14ac:dyDescent="0.25">
      <c r="E161" s="217" t="s">
        <v>115</v>
      </c>
      <c r="F161" s="217"/>
      <c r="H161" s="41"/>
    </row>
    <row r="162" spans="2:18" x14ac:dyDescent="0.25">
      <c r="E162" s="217"/>
      <c r="F162" s="217"/>
      <c r="H162" s="133">
        <f>(1.98*(3-2))/3</f>
        <v>0.66</v>
      </c>
    </row>
    <row r="163" spans="2:18" x14ac:dyDescent="0.25">
      <c r="E163" s="218" t="s">
        <v>117</v>
      </c>
      <c r="F163" s="219"/>
      <c r="H163" s="41"/>
    </row>
    <row r="164" spans="2:18" x14ac:dyDescent="0.25">
      <c r="E164" s="219"/>
      <c r="F164" s="219"/>
      <c r="H164" s="133">
        <f>H160/H162</f>
        <v>4.0860761206207297E-2</v>
      </c>
      <c r="I164" s="3" t="str">
        <f>IF(H164&gt;10%,"Inconsistente","Concistente")</f>
        <v>Concistente</v>
      </c>
    </row>
    <row r="165" spans="2:18" x14ac:dyDescent="0.25"/>
    <row r="166" spans="2:18" x14ac:dyDescent="0.25"/>
    <row r="167" spans="2:18" x14ac:dyDescent="0.25"/>
    <row r="168" spans="2:18" ht="18.75" x14ac:dyDescent="0.3">
      <c r="C168" s="220" t="s">
        <v>130</v>
      </c>
      <c r="D168" s="220"/>
      <c r="E168" s="220"/>
      <c r="F168" s="220"/>
      <c r="G168" s="220"/>
      <c r="H168" s="220"/>
      <c r="I168" s="220"/>
      <c r="J168" s="220"/>
      <c r="K168" s="220"/>
      <c r="L168" s="220"/>
      <c r="M168" s="220"/>
      <c r="N168" s="220"/>
      <c r="O168" s="220"/>
      <c r="P168" s="220"/>
      <c r="Q168" s="220"/>
      <c r="R168" s="220"/>
    </row>
    <row r="169" spans="2:18" ht="45" customHeight="1" x14ac:dyDescent="0.25">
      <c r="B169" s="64" t="s">
        <v>90</v>
      </c>
      <c r="C169" s="63" t="s">
        <v>127</v>
      </c>
      <c r="D169" s="65" t="s">
        <v>51</v>
      </c>
      <c r="E169" s="63" t="s">
        <v>128</v>
      </c>
      <c r="F169" s="63" t="s">
        <v>52</v>
      </c>
      <c r="G169" s="63" t="s">
        <v>53</v>
      </c>
      <c r="H169" s="63" t="s">
        <v>129</v>
      </c>
      <c r="I169" s="222" t="s">
        <v>97</v>
      </c>
      <c r="J169" s="222"/>
      <c r="K169" s="222"/>
      <c r="L169" s="222"/>
      <c r="M169" s="222"/>
      <c r="N169" s="222"/>
      <c r="O169" s="65" t="s">
        <v>131</v>
      </c>
      <c r="Q169" s="65" t="s">
        <v>132</v>
      </c>
      <c r="R169" s="65" t="s">
        <v>133</v>
      </c>
    </row>
    <row r="170" spans="2:18" x14ac:dyDescent="0.25">
      <c r="B170" s="65" t="s">
        <v>127</v>
      </c>
      <c r="C170" s="66">
        <v>1</v>
      </c>
      <c r="D170" s="34">
        <f>1/C171</f>
        <v>0.25</v>
      </c>
      <c r="E170" s="34">
        <f>1/C172</f>
        <v>0.33333333333333331</v>
      </c>
      <c r="F170" s="34">
        <f>1/C173</f>
        <v>0.2</v>
      </c>
      <c r="G170" s="34">
        <v>5</v>
      </c>
      <c r="H170" s="68">
        <f>1/C175</f>
        <v>0.33333333333333331</v>
      </c>
      <c r="I170" s="138">
        <f>C170/C$176</f>
        <v>6.1728395061728399E-2</v>
      </c>
      <c r="J170" s="138">
        <f t="shared" ref="J170:N175" si="18">D170/D$176</f>
        <v>6.0344827586206906E-2</v>
      </c>
      <c r="K170" s="138">
        <f t="shared" si="18"/>
        <v>2.2727272727272728E-2</v>
      </c>
      <c r="L170" s="138">
        <f t="shared" si="18"/>
        <v>8.3333333333333343E-2</v>
      </c>
      <c r="M170" s="138">
        <f t="shared" si="18"/>
        <v>0.19230769230769232</v>
      </c>
      <c r="N170" s="138">
        <f t="shared" si="18"/>
        <v>4.8780487804878044E-2</v>
      </c>
      <c r="O170" s="145">
        <f>AVERAGE(I170:N170)</f>
        <v>7.820366813685195E-2</v>
      </c>
      <c r="P170" s="143">
        <f>O170*$K$47</f>
        <v>5.2135778757901301E-3</v>
      </c>
      <c r="Q170" s="129" cm="1">
        <f t="array" ref="Q170:Q175">MMULT(C170:H175,O170:O175)</f>
        <v>0.48137655873936364</v>
      </c>
      <c r="R170" s="129">
        <f>Q170/O170</f>
        <v>6.1554217367014319</v>
      </c>
    </row>
    <row r="171" spans="2:18" ht="30" x14ac:dyDescent="0.25">
      <c r="B171" s="65" t="s">
        <v>51</v>
      </c>
      <c r="C171" s="34">
        <v>4</v>
      </c>
      <c r="D171" s="66">
        <v>1</v>
      </c>
      <c r="E171" s="34">
        <v>4</v>
      </c>
      <c r="F171" s="34">
        <f>1/D173</f>
        <v>0.5</v>
      </c>
      <c r="G171" s="34">
        <v>7</v>
      </c>
      <c r="H171" s="68">
        <v>2</v>
      </c>
      <c r="I171" s="138">
        <f t="shared" ref="I171:I175" si="19">C171/C$176</f>
        <v>0.24691358024691359</v>
      </c>
      <c r="J171" s="138">
        <f t="shared" si="18"/>
        <v>0.24137931034482762</v>
      </c>
      <c r="K171" s="138">
        <f t="shared" si="18"/>
        <v>0.27272727272727276</v>
      </c>
      <c r="L171" s="138">
        <f t="shared" si="18"/>
        <v>0.20833333333333334</v>
      </c>
      <c r="M171" s="138">
        <f t="shared" si="18"/>
        <v>0.26923076923076922</v>
      </c>
      <c r="N171" s="138">
        <f t="shared" si="18"/>
        <v>0.29268292682926828</v>
      </c>
      <c r="O171" s="145">
        <f t="shared" ref="O171:O175" si="20">AVERAGE(I171:N171)</f>
        <v>0.2552111987853975</v>
      </c>
      <c r="P171" s="143">
        <f t="shared" ref="P171:P175" si="21">O171*$K$47</f>
        <v>1.7014079919026499E-2</v>
      </c>
      <c r="Q171" s="129">
        <v>1.7078812416164066</v>
      </c>
      <c r="R171" s="129">
        <f t="shared" ref="R171:R175" si="22">Q171/O171</f>
        <v>6.6920309521861272</v>
      </c>
    </row>
    <row r="172" spans="2:18" ht="30" x14ac:dyDescent="0.25">
      <c r="B172" s="65" t="s">
        <v>128</v>
      </c>
      <c r="C172" s="34">
        <v>3</v>
      </c>
      <c r="D172" s="34">
        <f>1/E171</f>
        <v>0.25</v>
      </c>
      <c r="E172" s="66">
        <v>1</v>
      </c>
      <c r="F172" s="34">
        <f>1/E173</f>
        <v>0.2</v>
      </c>
      <c r="G172" s="34">
        <f>3</f>
        <v>3</v>
      </c>
      <c r="H172" s="68">
        <f>1/E175</f>
        <v>0.25</v>
      </c>
      <c r="I172" s="138">
        <f t="shared" si="19"/>
        <v>0.1851851851851852</v>
      </c>
      <c r="J172" s="138">
        <f t="shared" si="18"/>
        <v>6.0344827586206906E-2</v>
      </c>
      <c r="K172" s="138">
        <f t="shared" si="18"/>
        <v>6.8181818181818191E-2</v>
      </c>
      <c r="L172" s="138">
        <f t="shared" si="18"/>
        <v>8.3333333333333343E-2</v>
      </c>
      <c r="M172" s="138">
        <f t="shared" si="18"/>
        <v>0.11538461538461539</v>
      </c>
      <c r="N172" s="138">
        <f t="shared" si="18"/>
        <v>3.6585365853658534E-2</v>
      </c>
      <c r="O172" s="145">
        <f t="shared" si="20"/>
        <v>9.1502524254136283E-2</v>
      </c>
      <c r="P172" s="143">
        <f t="shared" si="21"/>
        <v>6.1001682836090854E-3</v>
      </c>
      <c r="Q172" s="129">
        <v>0.61330213287536206</v>
      </c>
      <c r="R172" s="129">
        <f t="shared" si="22"/>
        <v>6.7025706435376105</v>
      </c>
    </row>
    <row r="173" spans="2:18" x14ac:dyDescent="0.25">
      <c r="B173" s="65" t="s">
        <v>52</v>
      </c>
      <c r="C173" s="34">
        <v>5</v>
      </c>
      <c r="D173" s="34">
        <v>2</v>
      </c>
      <c r="E173" s="34">
        <v>5</v>
      </c>
      <c r="F173" s="66">
        <v>1</v>
      </c>
      <c r="G173" s="34">
        <v>6</v>
      </c>
      <c r="H173" s="68">
        <v>3</v>
      </c>
      <c r="I173" s="138">
        <f t="shared" si="19"/>
        <v>0.30864197530864201</v>
      </c>
      <c r="J173" s="138">
        <f t="shared" si="18"/>
        <v>0.48275862068965525</v>
      </c>
      <c r="K173" s="138">
        <f t="shared" si="18"/>
        <v>0.34090909090909094</v>
      </c>
      <c r="L173" s="138">
        <f t="shared" si="18"/>
        <v>0.41666666666666669</v>
      </c>
      <c r="M173" s="138">
        <f t="shared" si="18"/>
        <v>0.23076923076923078</v>
      </c>
      <c r="N173" s="138">
        <f t="shared" si="18"/>
        <v>0.43902439024390238</v>
      </c>
      <c r="O173" s="145">
        <f t="shared" si="20"/>
        <v>0.36979499576453129</v>
      </c>
      <c r="P173" s="143">
        <f t="shared" si="21"/>
        <v>2.4652999717635418E-2</v>
      </c>
      <c r="Q173" s="129">
        <v>2.4516347240274912</v>
      </c>
      <c r="R173" s="129">
        <f t="shared" si="22"/>
        <v>6.6297130899753469</v>
      </c>
    </row>
    <row r="174" spans="2:18" x14ac:dyDescent="0.25">
      <c r="B174" s="65" t="s">
        <v>53</v>
      </c>
      <c r="C174" s="34">
        <f>1/G170</f>
        <v>0.2</v>
      </c>
      <c r="D174" s="34">
        <f>1/G171</f>
        <v>0.14285714285714285</v>
      </c>
      <c r="E174" s="34">
        <f>1/G172</f>
        <v>0.33333333333333331</v>
      </c>
      <c r="F174" s="34">
        <f>1/G173</f>
        <v>0.16666666666666666</v>
      </c>
      <c r="G174" s="66">
        <v>1</v>
      </c>
      <c r="H174" s="68">
        <f>1/G175</f>
        <v>0.25</v>
      </c>
      <c r="I174" s="138">
        <f t="shared" si="19"/>
        <v>1.234567901234568E-2</v>
      </c>
      <c r="J174" s="138">
        <f t="shared" si="18"/>
        <v>3.4482758620689655E-2</v>
      </c>
      <c r="K174" s="138">
        <f t="shared" si="18"/>
        <v>2.2727272727272728E-2</v>
      </c>
      <c r="L174" s="138">
        <f t="shared" si="18"/>
        <v>6.9444444444444448E-2</v>
      </c>
      <c r="M174" s="138">
        <f t="shared" si="18"/>
        <v>3.8461538461538464E-2</v>
      </c>
      <c r="N174" s="138">
        <f t="shared" si="18"/>
        <v>3.6585365853658534E-2</v>
      </c>
      <c r="O174" s="145">
        <f t="shared" si="20"/>
        <v>3.5674509853324918E-2</v>
      </c>
      <c r="P174" s="143">
        <f t="shared" si="21"/>
        <v>2.3783006568883279E-3</v>
      </c>
      <c r="Q174" s="129">
        <v>0.22231060267789701</v>
      </c>
      <c r="R174" s="129">
        <f t="shared" si="22"/>
        <v>6.2316371995557311</v>
      </c>
    </row>
    <row r="175" spans="2:18" x14ac:dyDescent="0.25">
      <c r="B175" s="65" t="s">
        <v>129</v>
      </c>
      <c r="C175" s="34">
        <v>3</v>
      </c>
      <c r="D175" s="34">
        <f>1/H171</f>
        <v>0.5</v>
      </c>
      <c r="E175" s="34">
        <v>4</v>
      </c>
      <c r="F175" s="34">
        <f>1/H173</f>
        <v>0.33333333333333331</v>
      </c>
      <c r="G175" s="34">
        <v>4</v>
      </c>
      <c r="H175" s="69">
        <v>1</v>
      </c>
      <c r="I175" s="138">
        <f t="shared" si="19"/>
        <v>0.1851851851851852</v>
      </c>
      <c r="J175" s="138">
        <f t="shared" si="18"/>
        <v>0.12068965517241381</v>
      </c>
      <c r="K175" s="138">
        <f t="shared" si="18"/>
        <v>0.27272727272727276</v>
      </c>
      <c r="L175" s="138">
        <f t="shared" si="18"/>
        <v>0.1388888888888889</v>
      </c>
      <c r="M175" s="138">
        <f t="shared" si="18"/>
        <v>0.15384615384615385</v>
      </c>
      <c r="N175" s="138">
        <f t="shared" si="18"/>
        <v>0.14634146341463414</v>
      </c>
      <c r="O175" s="145">
        <f t="shared" si="20"/>
        <v>0.16961310320575809</v>
      </c>
      <c r="P175" s="143">
        <f t="shared" si="21"/>
        <v>1.1307540213717207E-2</v>
      </c>
      <c r="Q175" s="129">
        <v>1.1638028420270348</v>
      </c>
      <c r="R175" s="129">
        <f t="shared" si="22"/>
        <v>6.8615149421281592</v>
      </c>
    </row>
    <row r="176" spans="2:18" x14ac:dyDescent="0.25">
      <c r="B176"/>
      <c r="C176" s="67">
        <f>SUM(C170:C175)</f>
        <v>16.2</v>
      </c>
      <c r="D176" s="67">
        <f t="shared" ref="D176:H176" si="23">SUM(D170:D175)</f>
        <v>4.1428571428571423</v>
      </c>
      <c r="E176" s="67">
        <f t="shared" si="23"/>
        <v>14.666666666666666</v>
      </c>
      <c r="F176" s="67">
        <f t="shared" si="23"/>
        <v>2.4</v>
      </c>
      <c r="G176" s="67">
        <f t="shared" si="23"/>
        <v>26</v>
      </c>
      <c r="H176" s="67">
        <f t="shared" si="23"/>
        <v>6.8333333333333339</v>
      </c>
      <c r="I176" s="139">
        <f>SUM(I170:I175)</f>
        <v>1.0000000000000002</v>
      </c>
      <c r="J176" s="139">
        <f t="shared" ref="J176:N176" si="24">SUM(J170:J175)</f>
        <v>1</v>
      </c>
      <c r="K176" s="139">
        <f t="shared" si="24"/>
        <v>1</v>
      </c>
      <c r="L176" s="139">
        <f t="shared" si="24"/>
        <v>1</v>
      </c>
      <c r="M176" s="139">
        <f t="shared" si="24"/>
        <v>1</v>
      </c>
      <c r="N176" s="139">
        <f t="shared" si="24"/>
        <v>0.99999999999999989</v>
      </c>
      <c r="O176"/>
    </row>
    <row r="177" spans="3:18" x14ac:dyDescent="0.25"/>
    <row r="178" spans="3:18" x14ac:dyDescent="0.25"/>
    <row r="179" spans="3:18" x14ac:dyDescent="0.25"/>
    <row r="180" spans="3:18" x14ac:dyDescent="0.25"/>
    <row r="181" spans="3:18" x14ac:dyDescent="0.25">
      <c r="H181" s="212" t="s">
        <v>113</v>
      </c>
      <c r="I181" s="212"/>
    </row>
    <row r="182" spans="3:18" x14ac:dyDescent="0.25">
      <c r="E182" s="3" t="s">
        <v>112</v>
      </c>
      <c r="H182" s="212"/>
      <c r="I182" s="212"/>
      <c r="K182" s="133">
        <f>(E183-6)/(6-1)</f>
        <v>0.10909628546948014</v>
      </c>
    </row>
    <row r="183" spans="3:18" ht="15.75" x14ac:dyDescent="0.25">
      <c r="D183" s="38" t="s">
        <v>111</v>
      </c>
      <c r="E183" s="132">
        <f>AVERAGE(R170:R175)</f>
        <v>6.5454814273474007</v>
      </c>
      <c r="H183" s="217" t="s">
        <v>115</v>
      </c>
      <c r="I183" s="217"/>
      <c r="K183" s="41"/>
    </row>
    <row r="184" spans="3:18" x14ac:dyDescent="0.25">
      <c r="H184" s="217"/>
      <c r="I184" s="217"/>
      <c r="K184" s="133">
        <f>(1.98*(6-2))/6</f>
        <v>1.32</v>
      </c>
    </row>
    <row r="185" spans="3:18" x14ac:dyDescent="0.25">
      <c r="H185" s="218" t="s">
        <v>117</v>
      </c>
      <c r="I185" s="219"/>
      <c r="K185" s="41"/>
    </row>
    <row r="186" spans="3:18" x14ac:dyDescent="0.25">
      <c r="H186" s="219"/>
      <c r="I186" s="219"/>
      <c r="K186" s="133">
        <f>K182/K184</f>
        <v>8.2648701113242518E-2</v>
      </c>
      <c r="L186" s="3" t="str">
        <f>IF(K186&gt;10%,"Inconsistente","Concistente")</f>
        <v>Concistente</v>
      </c>
    </row>
    <row r="187" spans="3:18" x14ac:dyDescent="0.25"/>
    <row r="188" spans="3:18" x14ac:dyDescent="0.25"/>
    <row r="189" spans="3:18" x14ac:dyDescent="0.25"/>
    <row r="190" spans="3:18" ht="18.75" x14ac:dyDescent="0.3">
      <c r="C190" s="220" t="s">
        <v>136</v>
      </c>
      <c r="D190" s="220"/>
      <c r="E190" s="220"/>
      <c r="F190" s="220"/>
      <c r="G190" s="220"/>
      <c r="H190" s="220"/>
      <c r="I190" s="220"/>
      <c r="J190" s="220"/>
      <c r="K190" s="220"/>
      <c r="L190" s="220"/>
      <c r="M190" s="220"/>
      <c r="N190" s="220"/>
      <c r="O190" s="220"/>
      <c r="P190" s="220"/>
      <c r="Q190" s="220"/>
      <c r="R190" s="220"/>
    </row>
    <row r="191" spans="3:18" ht="45" x14ac:dyDescent="0.25">
      <c r="C191" s="72" t="s">
        <v>134</v>
      </c>
      <c r="D191" s="71" t="s">
        <v>54</v>
      </c>
      <c r="E191" s="71" t="s">
        <v>55</v>
      </c>
      <c r="F191" s="71" t="s">
        <v>56</v>
      </c>
      <c r="G191" s="227" t="s">
        <v>97</v>
      </c>
      <c r="H191" s="227"/>
      <c r="I191" s="227"/>
      <c r="J191" s="71" t="s">
        <v>135</v>
      </c>
      <c r="M191" s="71" t="s">
        <v>132</v>
      </c>
      <c r="O191" s="71" t="s">
        <v>133</v>
      </c>
    </row>
    <row r="192" spans="3:18" x14ac:dyDescent="0.25">
      <c r="C192" s="71" t="s">
        <v>54</v>
      </c>
      <c r="D192" s="66">
        <v>1</v>
      </c>
      <c r="E192" s="34">
        <v>3</v>
      </c>
      <c r="F192" s="68">
        <v>7</v>
      </c>
      <c r="G192" s="140">
        <f>D192/D$195</f>
        <v>0.67741935483870974</v>
      </c>
      <c r="H192" s="140">
        <f t="shared" ref="H192:I194" si="25">E192/E$195</f>
        <v>0.7142857142857143</v>
      </c>
      <c r="I192" s="140">
        <f t="shared" si="25"/>
        <v>0.53846153846153844</v>
      </c>
      <c r="J192" s="146">
        <f>AVERAGE(G192:I192)</f>
        <v>0.64338886919532079</v>
      </c>
      <c r="K192" s="144">
        <f>J192*$K$48</f>
        <v>0.34314073023750441</v>
      </c>
      <c r="M192" s="131" cm="1">
        <f t="array" ref="M192:M194">MMULT(D192:F194,J192:J194)</f>
        <v>2.0083106857300406</v>
      </c>
      <c r="O192" s="129">
        <f>M192/J192</f>
        <v>3.1214569941842671</v>
      </c>
      <c r="R192" s="3" t="s">
        <v>112</v>
      </c>
    </row>
    <row r="193" spans="3:18" ht="30" x14ac:dyDescent="0.25">
      <c r="C193" s="71" t="s">
        <v>55</v>
      </c>
      <c r="D193" s="34">
        <f>1/E192</f>
        <v>0.33333333333333331</v>
      </c>
      <c r="E193" s="66">
        <v>1</v>
      </c>
      <c r="F193" s="68">
        <v>5</v>
      </c>
      <c r="G193" s="140">
        <f t="shared" ref="G193:G194" si="26">D193/D$195</f>
        <v>0.22580645161290325</v>
      </c>
      <c r="H193" s="140">
        <f t="shared" si="25"/>
        <v>0.23809523809523808</v>
      </c>
      <c r="I193" s="140">
        <f t="shared" si="25"/>
        <v>0.38461538461538464</v>
      </c>
      <c r="J193" s="146">
        <f t="shared" ref="J193:J194" si="27">AVERAGE(G193:I193)</f>
        <v>0.28283902477450867</v>
      </c>
      <c r="K193" s="144">
        <f t="shared" ref="K193:K194" si="28">J193*$K$48</f>
        <v>0.15084747987973796</v>
      </c>
      <c r="M193" s="131">
        <v>0.86616251132380162</v>
      </c>
      <c r="O193" s="129">
        <f t="shared" ref="O193:O194" si="29">M193/J193</f>
        <v>3.062386854198579</v>
      </c>
      <c r="Q193" s="38" t="s">
        <v>111</v>
      </c>
      <c r="R193" s="132">
        <f>AVERAGE(O192:O194)</f>
        <v>3.065511827120929</v>
      </c>
    </row>
    <row r="194" spans="3:18" x14ac:dyDescent="0.25">
      <c r="C194" s="71" t="s">
        <v>56</v>
      </c>
      <c r="D194" s="34">
        <f>1/F192</f>
        <v>0.14285714285714285</v>
      </c>
      <c r="E194" s="34">
        <f>1/F193</f>
        <v>0.2</v>
      </c>
      <c r="F194" s="69">
        <v>1</v>
      </c>
      <c r="G194" s="140">
        <f t="shared" si="26"/>
        <v>9.6774193548387094E-2</v>
      </c>
      <c r="H194" s="140">
        <f t="shared" si="25"/>
        <v>4.7619047619047616E-2</v>
      </c>
      <c r="I194" s="140">
        <f t="shared" si="25"/>
        <v>7.6923076923076927E-2</v>
      </c>
      <c r="J194" s="146">
        <f t="shared" si="27"/>
        <v>7.3772106030170551E-2</v>
      </c>
      <c r="K194" s="144">
        <f t="shared" si="28"/>
        <v>3.934512321609096E-2</v>
      </c>
      <c r="M194" s="131">
        <v>0.22225260658440382</v>
      </c>
      <c r="O194" s="129">
        <f t="shared" si="29"/>
        <v>3.0126916329799402</v>
      </c>
    </row>
    <row r="195" spans="3:18" x14ac:dyDescent="0.25">
      <c r="C195"/>
      <c r="D195" s="141">
        <f>SUM(D192:D194)</f>
        <v>1.4761904761904761</v>
      </c>
      <c r="E195" s="141">
        <f t="shared" ref="E195:F195" si="30">SUM(E192:E194)</f>
        <v>4.2</v>
      </c>
      <c r="F195" s="141">
        <f t="shared" si="30"/>
        <v>13</v>
      </c>
      <c r="G195" s="141">
        <f>SUM(G192:G194)</f>
        <v>1</v>
      </c>
      <c r="H195" s="141">
        <f t="shared" ref="H195:I195" si="31">SUM(H192:H194)</f>
        <v>1</v>
      </c>
      <c r="I195" s="141">
        <f t="shared" si="31"/>
        <v>1</v>
      </c>
      <c r="J195" s="32"/>
    </row>
    <row r="196" spans="3:18" x14ac:dyDescent="0.25"/>
    <row r="197" spans="3:18" x14ac:dyDescent="0.25"/>
    <row r="198" spans="3:18" x14ac:dyDescent="0.25"/>
    <row r="199" spans="3:18" x14ac:dyDescent="0.25"/>
    <row r="200" spans="3:18" x14ac:dyDescent="0.25">
      <c r="E200" s="212" t="s">
        <v>113</v>
      </c>
      <c r="F200" s="212"/>
    </row>
    <row r="201" spans="3:18" x14ac:dyDescent="0.25">
      <c r="E201" s="212"/>
      <c r="F201" s="212"/>
      <c r="H201" s="133">
        <f>(R193-3)/(3-1)</f>
        <v>3.2755913560464478E-2</v>
      </c>
    </row>
    <row r="202" spans="3:18" x14ac:dyDescent="0.25">
      <c r="E202" s="217" t="s">
        <v>115</v>
      </c>
      <c r="F202" s="217"/>
      <c r="H202" s="41"/>
    </row>
    <row r="203" spans="3:18" x14ac:dyDescent="0.25">
      <c r="E203" s="217"/>
      <c r="F203" s="217"/>
      <c r="H203" s="133">
        <f>(1.98*(3-2))/3</f>
        <v>0.66</v>
      </c>
    </row>
    <row r="204" spans="3:18" x14ac:dyDescent="0.25">
      <c r="E204" s="218" t="s">
        <v>117</v>
      </c>
      <c r="F204" s="219"/>
      <c r="H204" s="41"/>
    </row>
    <row r="205" spans="3:18" x14ac:dyDescent="0.25">
      <c r="E205" s="219"/>
      <c r="F205" s="219"/>
      <c r="H205" s="133">
        <f>H201/H203</f>
        <v>4.9630172061309812E-2</v>
      </c>
      <c r="I205" s="3" t="str">
        <f>IF(H205&gt;10%,"Inconsistente","Concistente")</f>
        <v>Concistente</v>
      </c>
    </row>
    <row r="206" spans="3:18" x14ac:dyDescent="0.25">
      <c r="E206" s="28"/>
      <c r="F206" s="28"/>
      <c r="H206" s="41"/>
      <c r="I206" s="3"/>
    </row>
    <row r="207" spans="3:18" x14ac:dyDescent="0.25"/>
    <row r="208" spans="3:18" ht="18.75" x14ac:dyDescent="0.3">
      <c r="C208" s="220" t="s">
        <v>137</v>
      </c>
      <c r="D208" s="220"/>
      <c r="E208" s="220"/>
      <c r="F208" s="220"/>
      <c r="G208" s="220"/>
      <c r="H208" s="220"/>
      <c r="I208" s="220"/>
      <c r="J208" s="220"/>
      <c r="K208" s="220"/>
      <c r="L208" s="220"/>
      <c r="M208" s="220"/>
      <c r="N208" s="220"/>
      <c r="O208" s="220"/>
      <c r="P208" s="220"/>
      <c r="Q208" s="220"/>
      <c r="R208" s="220"/>
    </row>
    <row r="209" spans="2:5" x14ac:dyDescent="0.25"/>
    <row r="210" spans="2:5" x14ac:dyDescent="0.25">
      <c r="C210" s="24" t="s">
        <v>138</v>
      </c>
    </row>
    <row r="211" spans="2:5" x14ac:dyDescent="0.25">
      <c r="C211" s="24" t="s">
        <v>139</v>
      </c>
    </row>
    <row r="212" spans="2:5" x14ac:dyDescent="0.25"/>
    <row r="213" spans="2:5" x14ac:dyDescent="0.25">
      <c r="C213" s="24" t="s">
        <v>238</v>
      </c>
    </row>
    <row r="214" spans="2:5" ht="61.5" x14ac:dyDescent="0.9">
      <c r="B214" s="161" t="s">
        <v>244</v>
      </c>
      <c r="C214" s="161" t="s">
        <v>243</v>
      </c>
      <c r="D214" s="153" t="s">
        <v>239</v>
      </c>
      <c r="E214" s="153" t="s">
        <v>240</v>
      </c>
    </row>
    <row r="215" spans="2:5" ht="28.5" x14ac:dyDescent="0.45">
      <c r="B215" s="223" t="s">
        <v>2</v>
      </c>
      <c r="C215" s="158" t="s">
        <v>149</v>
      </c>
      <c r="D215" s="159">
        <f t="shared" ref="D215:D230" si="32">$K$45*$S110</f>
        <v>1.6932650901751625E-2</v>
      </c>
      <c r="E215" s="160">
        <f>S110</f>
        <v>6.3497440881568598E-2</v>
      </c>
    </row>
    <row r="216" spans="2:5" ht="28.5" x14ac:dyDescent="0.45">
      <c r="B216" s="223"/>
      <c r="C216" s="44" t="s">
        <v>140</v>
      </c>
      <c r="D216" s="154">
        <f t="shared" si="32"/>
        <v>3.3342253371109208E-2</v>
      </c>
      <c r="E216" s="155">
        <f t="shared" ref="E216:E230" si="33">S111</f>
        <v>0.12503345014165954</v>
      </c>
    </row>
    <row r="217" spans="2:5" ht="32.25" customHeight="1" x14ac:dyDescent="0.45">
      <c r="B217" s="223"/>
      <c r="C217" s="44" t="s">
        <v>35</v>
      </c>
      <c r="D217" s="154">
        <f t="shared" si="32"/>
        <v>1.4762639370096337E-2</v>
      </c>
      <c r="E217" s="155">
        <f t="shared" si="33"/>
        <v>5.5359897637861262E-2</v>
      </c>
    </row>
    <row r="218" spans="2:5" ht="63" customHeight="1" x14ac:dyDescent="0.45">
      <c r="B218" s="223"/>
      <c r="C218" s="44" t="s">
        <v>141</v>
      </c>
      <c r="D218" s="154">
        <f t="shared" si="32"/>
        <v>4.971006158034029E-2</v>
      </c>
      <c r="E218" s="155">
        <f t="shared" si="33"/>
        <v>0.18641273092627608</v>
      </c>
    </row>
    <row r="219" spans="2:5" ht="60.75" customHeight="1" x14ac:dyDescent="0.45">
      <c r="B219" s="223"/>
      <c r="C219" s="44" t="s">
        <v>142</v>
      </c>
      <c r="D219" s="154">
        <f t="shared" si="32"/>
        <v>2.4415257933396912E-3</v>
      </c>
      <c r="E219" s="155">
        <f t="shared" si="33"/>
        <v>9.1557217250238417E-3</v>
      </c>
    </row>
    <row r="220" spans="2:5" ht="28.5" x14ac:dyDescent="0.45">
      <c r="B220" s="223"/>
      <c r="C220" s="44" t="s">
        <v>38</v>
      </c>
      <c r="D220" s="154">
        <f t="shared" si="32"/>
        <v>6.1194796564411104E-3</v>
      </c>
      <c r="E220" s="155">
        <f t="shared" si="33"/>
        <v>2.2948048711654165E-2</v>
      </c>
    </row>
    <row r="221" spans="2:5" ht="50.25" customHeight="1" x14ac:dyDescent="0.45">
      <c r="B221" s="223"/>
      <c r="C221" s="73" t="s">
        <v>39</v>
      </c>
      <c r="D221" s="154">
        <f t="shared" si="32"/>
        <v>2.6161773982819807E-2</v>
      </c>
      <c r="E221" s="155">
        <f t="shared" si="33"/>
        <v>9.8106652435574274E-2</v>
      </c>
    </row>
    <row r="222" spans="2:5" ht="28.5" x14ac:dyDescent="0.45">
      <c r="B222" s="223"/>
      <c r="C222" s="45" t="s">
        <v>40</v>
      </c>
      <c r="D222" s="154">
        <f t="shared" si="32"/>
        <v>1.6880019245560745E-2</v>
      </c>
      <c r="E222" s="155">
        <f t="shared" si="33"/>
        <v>6.3300072170852789E-2</v>
      </c>
    </row>
    <row r="223" spans="2:5" ht="28.5" x14ac:dyDescent="0.45">
      <c r="B223" s="223"/>
      <c r="C223" s="44" t="s">
        <v>41</v>
      </c>
      <c r="D223" s="154">
        <f t="shared" si="32"/>
        <v>1.1814815916615741E-2</v>
      </c>
      <c r="E223" s="155">
        <f t="shared" si="33"/>
        <v>4.430555968730903E-2</v>
      </c>
    </row>
    <row r="224" spans="2:5" ht="39.75" customHeight="1" x14ac:dyDescent="0.45">
      <c r="B224" s="223"/>
      <c r="C224" s="44" t="s">
        <v>143</v>
      </c>
      <c r="D224" s="154">
        <f t="shared" si="32"/>
        <v>5.3174688105496947E-3</v>
      </c>
      <c r="E224" s="155">
        <f t="shared" si="33"/>
        <v>1.9940508039561357E-2</v>
      </c>
    </row>
    <row r="225" spans="2:5" ht="32.25" customHeight="1" x14ac:dyDescent="0.45">
      <c r="B225" s="223"/>
      <c r="C225" s="44" t="s">
        <v>144</v>
      </c>
      <c r="D225" s="154">
        <f t="shared" si="32"/>
        <v>9.218202113124619E-3</v>
      </c>
      <c r="E225" s="155">
        <f t="shared" si="33"/>
        <v>3.4568257924217319E-2</v>
      </c>
    </row>
    <row r="226" spans="2:5" ht="37.5" customHeight="1" x14ac:dyDescent="0.45">
      <c r="B226" s="223"/>
      <c r="C226" s="44" t="s">
        <v>145</v>
      </c>
      <c r="D226" s="154">
        <f t="shared" si="32"/>
        <v>6.9955332841742717E-3</v>
      </c>
      <c r="E226" s="155">
        <f t="shared" si="33"/>
        <v>2.6233249815653521E-2</v>
      </c>
    </row>
    <row r="227" spans="2:5" ht="29.25" x14ac:dyDescent="0.45">
      <c r="B227" s="223"/>
      <c r="C227" s="73" t="s">
        <v>146</v>
      </c>
      <c r="D227" s="154">
        <f t="shared" si="32"/>
        <v>3.5227608149966443E-2</v>
      </c>
      <c r="E227" s="155">
        <f t="shared" si="33"/>
        <v>0.13210353056237417</v>
      </c>
    </row>
    <row r="228" spans="2:5" ht="29.25" x14ac:dyDescent="0.45">
      <c r="B228" s="223"/>
      <c r="C228" s="44" t="s">
        <v>147</v>
      </c>
      <c r="D228" s="154">
        <f t="shared" si="32"/>
        <v>1.1363013855472972E-2</v>
      </c>
      <c r="E228" s="155">
        <f t="shared" si="33"/>
        <v>4.2611301958023644E-2</v>
      </c>
    </row>
    <row r="229" spans="2:5" ht="61.5" customHeight="1" x14ac:dyDescent="0.45">
      <c r="B229" s="223"/>
      <c r="C229" s="44" t="s">
        <v>47</v>
      </c>
      <c r="D229" s="154">
        <f t="shared" si="32"/>
        <v>1.6914312646830375E-2</v>
      </c>
      <c r="E229" s="155">
        <f t="shared" si="33"/>
        <v>6.3428672425613911E-2</v>
      </c>
    </row>
    <row r="230" spans="2:5" ht="39.75" customHeight="1" x14ac:dyDescent="0.45">
      <c r="B230" s="223"/>
      <c r="C230" s="44" t="s">
        <v>148</v>
      </c>
      <c r="D230" s="154">
        <f t="shared" si="32"/>
        <v>3.465307988473742E-3</v>
      </c>
      <c r="E230" s="155">
        <f t="shared" si="33"/>
        <v>1.2994904956776533E-2</v>
      </c>
    </row>
    <row r="231" spans="2:5" ht="28.5" x14ac:dyDescent="0.45">
      <c r="B231" s="224" t="s">
        <v>19</v>
      </c>
      <c r="C231" s="150" t="s">
        <v>125</v>
      </c>
      <c r="D231" s="154">
        <f>$K$46*$I151</f>
        <v>4.7881241565452093E-2</v>
      </c>
      <c r="E231" s="155">
        <f>I151</f>
        <v>0.35910931174089072</v>
      </c>
    </row>
    <row r="232" spans="2:5" ht="50.25" customHeight="1" x14ac:dyDescent="0.45">
      <c r="B232" s="224"/>
      <c r="C232" s="150" t="s">
        <v>49</v>
      </c>
      <c r="D232" s="154">
        <f t="shared" ref="D232" si="34">$K$46*$I152</f>
        <v>1.0202429149797571E-2</v>
      </c>
      <c r="E232" s="155">
        <f t="shared" ref="E232:E233" si="35">I152</f>
        <v>7.6518218623481779E-2</v>
      </c>
    </row>
    <row r="233" spans="2:5" ht="75" customHeight="1" x14ac:dyDescent="0.45">
      <c r="B233" s="224"/>
      <c r="C233" s="150" t="s">
        <v>50</v>
      </c>
      <c r="D233" s="154">
        <f>$K$46*$I153</f>
        <v>7.5249662618083663E-2</v>
      </c>
      <c r="E233" s="155">
        <f t="shared" si="35"/>
        <v>0.56437246963562748</v>
      </c>
    </row>
    <row r="234" spans="2:5" ht="28.5" x14ac:dyDescent="0.45">
      <c r="B234" s="225" t="s">
        <v>22</v>
      </c>
      <c r="C234" s="75" t="s">
        <v>127</v>
      </c>
      <c r="D234" s="156">
        <f>$K$47*$O170</f>
        <v>5.2135778757901301E-3</v>
      </c>
      <c r="E234" s="157">
        <f>O170</f>
        <v>7.820366813685195E-2</v>
      </c>
    </row>
    <row r="235" spans="2:5" ht="28.5" x14ac:dyDescent="0.45">
      <c r="B235" s="225"/>
      <c r="C235" s="151" t="s">
        <v>51</v>
      </c>
      <c r="D235" s="156">
        <f t="shared" ref="D235:D239" si="36">$K$47*$O171</f>
        <v>1.7014079919026499E-2</v>
      </c>
      <c r="E235" s="157">
        <f t="shared" ref="E235:E239" si="37">O171</f>
        <v>0.2552111987853975</v>
      </c>
    </row>
    <row r="236" spans="2:5" ht="28.5" x14ac:dyDescent="0.45">
      <c r="B236" s="225"/>
      <c r="C236" s="151" t="s">
        <v>241</v>
      </c>
      <c r="D236" s="156">
        <f t="shared" si="36"/>
        <v>6.1001682836090854E-3</v>
      </c>
      <c r="E236" s="157">
        <f t="shared" si="37"/>
        <v>9.1502524254136283E-2</v>
      </c>
    </row>
    <row r="237" spans="2:5" ht="28.5" x14ac:dyDescent="0.45">
      <c r="B237" s="225"/>
      <c r="C237" s="75" t="s">
        <v>52</v>
      </c>
      <c r="D237" s="156">
        <f t="shared" si="36"/>
        <v>2.4652999717635418E-2</v>
      </c>
      <c r="E237" s="157">
        <f t="shared" si="37"/>
        <v>0.36979499576453129</v>
      </c>
    </row>
    <row r="238" spans="2:5" ht="28.5" x14ac:dyDescent="0.45">
      <c r="B238" s="225"/>
      <c r="C238" s="75" t="s">
        <v>53</v>
      </c>
      <c r="D238" s="156">
        <f t="shared" si="36"/>
        <v>2.3783006568883279E-3</v>
      </c>
      <c r="E238" s="157">
        <f t="shared" si="37"/>
        <v>3.5674509853324918E-2</v>
      </c>
    </row>
    <row r="239" spans="2:5" ht="28.5" x14ac:dyDescent="0.45">
      <c r="B239" s="225"/>
      <c r="C239" s="75" t="s">
        <v>129</v>
      </c>
      <c r="D239" s="156">
        <f t="shared" si="36"/>
        <v>1.1307540213717207E-2</v>
      </c>
      <c r="E239" s="157">
        <f t="shared" si="37"/>
        <v>0.16961310320575809</v>
      </c>
    </row>
    <row r="240" spans="2:5" ht="31.5" customHeight="1" x14ac:dyDescent="0.45">
      <c r="B240" s="226" t="s">
        <v>29</v>
      </c>
      <c r="C240" s="77" t="s">
        <v>54</v>
      </c>
      <c r="D240" s="154">
        <f>$K$48*$J192</f>
        <v>0.34314073023750441</v>
      </c>
      <c r="E240" s="157">
        <f>J192</f>
        <v>0.64338886919532079</v>
      </c>
    </row>
    <row r="241" spans="2:5" ht="50.25" customHeight="1" x14ac:dyDescent="0.45">
      <c r="B241" s="226"/>
      <c r="C241" s="77" t="s">
        <v>55</v>
      </c>
      <c r="D241" s="154">
        <f t="shared" ref="D241:D242" si="38">$K$48*$J193</f>
        <v>0.15084747987973796</v>
      </c>
      <c r="E241" s="157">
        <f t="shared" ref="E241:E242" si="39">J193</f>
        <v>0.28283902477450867</v>
      </c>
    </row>
    <row r="242" spans="2:5" ht="28.5" x14ac:dyDescent="0.45">
      <c r="B242" s="226"/>
      <c r="C242" s="77" t="s">
        <v>56</v>
      </c>
      <c r="D242" s="154">
        <f t="shared" si="38"/>
        <v>3.934512321609096E-2</v>
      </c>
      <c r="E242" s="157">
        <f t="shared" si="39"/>
        <v>7.3772106030170551E-2</v>
      </c>
    </row>
    <row r="243" spans="2:5" x14ac:dyDescent="0.25"/>
    <row r="244" spans="2:5" x14ac:dyDescent="0.25"/>
    <row r="245" spans="2:5" x14ac:dyDescent="0.25"/>
  </sheetData>
  <sheetProtection algorithmName="SHA-512" hashValue="Ex+rs/ySPmhoLMyvHP82XMwDyVkLsAHPkEXVdQXsInoQ6P+cKA79gQ/biUt/+t9REF9V8TDaASPM/L9R7q5qyQ==" saltValue="WIzXqaGWjf9GTs5bgJFyUA==" spinCount="100000" sheet="1" objects="1" scenarios="1"/>
  <mergeCells count="54">
    <mergeCell ref="B215:B230"/>
    <mergeCell ref="B231:B233"/>
    <mergeCell ref="B234:B239"/>
    <mergeCell ref="B240:B242"/>
    <mergeCell ref="C190:R190"/>
    <mergeCell ref="G191:I191"/>
    <mergeCell ref="E200:F201"/>
    <mergeCell ref="E202:F203"/>
    <mergeCell ref="E204:F205"/>
    <mergeCell ref="C208:R208"/>
    <mergeCell ref="H185:I186"/>
    <mergeCell ref="J133:K134"/>
    <mergeCell ref="J135:K136"/>
    <mergeCell ref="C149:R149"/>
    <mergeCell ref="F150:H150"/>
    <mergeCell ref="E159:F160"/>
    <mergeCell ref="E161:F162"/>
    <mergeCell ref="E163:F164"/>
    <mergeCell ref="C168:R168"/>
    <mergeCell ref="I169:N169"/>
    <mergeCell ref="H181:I182"/>
    <mergeCell ref="H183:I184"/>
    <mergeCell ref="J131:K132"/>
    <mergeCell ref="C25:F25"/>
    <mergeCell ref="G25:L25"/>
    <mergeCell ref="M25:P25"/>
    <mergeCell ref="G44:J44"/>
    <mergeCell ref="C55:K55"/>
    <mergeCell ref="C56:K56"/>
    <mergeCell ref="J67:K68"/>
    <mergeCell ref="J74:K75"/>
    <mergeCell ref="J79:K80"/>
    <mergeCell ref="C86:R86"/>
    <mergeCell ref="C109:R109"/>
    <mergeCell ref="C23:F23"/>
    <mergeCell ref="G23:L23"/>
    <mergeCell ref="M23:P23"/>
    <mergeCell ref="C24:F24"/>
    <mergeCell ref="G24:L24"/>
    <mergeCell ref="M24:P24"/>
    <mergeCell ref="C21:F21"/>
    <mergeCell ref="G21:L21"/>
    <mergeCell ref="M21:P21"/>
    <mergeCell ref="C22:F22"/>
    <mergeCell ref="G22:L22"/>
    <mergeCell ref="M22:P22"/>
    <mergeCell ref="C20:F20"/>
    <mergeCell ref="G20:L20"/>
    <mergeCell ref="M20:P20"/>
    <mergeCell ref="C3:P3"/>
    <mergeCell ref="C4:P10"/>
    <mergeCell ref="C18:P18"/>
    <mergeCell ref="C19:F19"/>
    <mergeCell ref="M19:P19"/>
  </mergeCells>
  <conditionalFormatting sqref="C170 D171 E172 F173 G174 H175">
    <cfRule type="cellIs" priority="7" operator="equal">
      <formula>1</formula>
    </cfRule>
  </conditionalFormatting>
  <conditionalFormatting sqref="D192 E193 F194">
    <cfRule type="cellIs" priority="3" operator="equal">
      <formula>1</formula>
    </cfRule>
  </conditionalFormatting>
  <conditionalFormatting sqref="H164">
    <cfRule type="cellIs" dxfId="27" priority="9" operator="greaterThan">
      <formula>0.1</formula>
    </cfRule>
    <cfRule type="cellIs" dxfId="26" priority="10" operator="lessThanOrEqual">
      <formula>0.1</formula>
    </cfRule>
  </conditionalFormatting>
  <conditionalFormatting sqref="H205:H206">
    <cfRule type="cellIs" dxfId="25" priority="1" operator="greaterThan">
      <formula>0.1</formula>
    </cfRule>
    <cfRule type="cellIs" dxfId="24" priority="2" operator="lessThanOrEqual">
      <formula>0.1</formula>
    </cfRule>
  </conditionalFormatting>
  <conditionalFormatting sqref="I151:I153">
    <cfRule type="colorScale" priority="11">
      <colorScale>
        <cfvo type="min"/>
        <cfvo type="percentile" val="50"/>
        <cfvo type="max"/>
        <color rgb="FFF8696B"/>
        <color rgb="FFFFEB84"/>
        <color rgb="FF63BE7B"/>
      </colorScale>
    </cfRule>
  </conditionalFormatting>
  <conditionalFormatting sqref="J192:J194">
    <cfRule type="colorScale" priority="4">
      <colorScale>
        <cfvo type="min"/>
        <cfvo type="percentile" val="50"/>
        <cfvo type="max"/>
        <color rgb="FFF8696B"/>
        <color rgb="FFFFEB84"/>
        <color rgb="FF63BE7B"/>
      </colorScale>
    </cfRule>
  </conditionalFormatting>
  <conditionalFormatting sqref="K45:K48">
    <cfRule type="colorScale" priority="17">
      <colorScale>
        <cfvo type="min"/>
        <cfvo type="percentile" val="50"/>
        <cfvo type="max"/>
        <color rgb="FFF8696B"/>
        <color rgb="FFFFEB84"/>
        <color rgb="FF63BE7B"/>
      </colorScale>
    </cfRule>
  </conditionalFormatting>
  <conditionalFormatting sqref="K186">
    <cfRule type="cellIs" dxfId="23" priority="5" operator="greaterThan">
      <formula>0.1</formula>
    </cfRule>
    <cfRule type="cellIs" dxfId="22" priority="6" operator="lessThanOrEqual">
      <formula>0.1</formula>
    </cfRule>
  </conditionalFormatting>
  <conditionalFormatting sqref="M80">
    <cfRule type="cellIs" dxfId="21" priority="15" operator="greaterThan">
      <formula>0.1</formula>
    </cfRule>
    <cfRule type="cellIs" dxfId="20" priority="16" operator="lessThanOrEqual">
      <formula>0.1</formula>
    </cfRule>
  </conditionalFormatting>
  <conditionalFormatting sqref="M136">
    <cfRule type="cellIs" dxfId="19" priority="12" operator="greaterThan">
      <formula>0.1</formula>
    </cfRule>
    <cfRule type="cellIs" dxfId="18" priority="13" operator="lessThanOrEqual">
      <formula>0.1</formula>
    </cfRule>
  </conditionalFormatting>
  <conditionalFormatting sqref="O170:O175">
    <cfRule type="colorScale" priority="8">
      <colorScale>
        <cfvo type="min"/>
        <cfvo type="percentile" val="50"/>
        <cfvo type="max"/>
        <color rgb="FFF8696B"/>
        <color rgb="FFFFEB84"/>
        <color rgb="FF63BE7B"/>
      </colorScale>
    </cfRule>
  </conditionalFormatting>
  <conditionalFormatting sqref="S110:S125">
    <cfRule type="colorScale" priority="14">
      <colorScale>
        <cfvo type="min"/>
        <cfvo type="percentile" val="50"/>
        <cfvo type="max"/>
        <color rgb="FFF8696B"/>
        <color rgb="FFFFEB84"/>
        <color rgb="FF63BE7B"/>
      </colorScale>
    </cfRule>
  </conditionalFormatting>
  <dataValidations count="1">
    <dataValidation type="whole" operator="equal" allowBlank="1" showInputMessage="1" showErrorMessage="1" sqref="C45 D46 E47 F48" xr:uid="{D01AE188-2800-4D51-9609-232824EC1E33}">
      <formula1>1</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A337F79-9F77-4EAF-A5B4-A0B647C47AFA}">
          <x14:formula1>
            <xm:f>Lista!$A$2:$A$17</xm:f>
          </x14:formula1>
          <xm:sqref>D45:F45 E46:F46 F47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8DBD-B61C-4767-B13C-BA811EDACC63}">
  <dimension ref="K4:T34"/>
  <sheetViews>
    <sheetView zoomScale="60" zoomScaleNormal="60" workbookViewId="0">
      <selection activeCell="K4" sqref="K4:T34"/>
    </sheetView>
  </sheetViews>
  <sheetFormatPr baseColWidth="10" defaultRowHeight="15" x14ac:dyDescent="0.25"/>
  <cols>
    <col min="1" max="10" width="11.42578125" style="1"/>
    <col min="11" max="20" width="41.28515625" style="1" customWidth="1"/>
    <col min="21" max="16384" width="11.42578125" style="1"/>
  </cols>
  <sheetData>
    <row r="4" spans="11:20" ht="15" customHeight="1" x14ac:dyDescent="0.25">
      <c r="K4" s="228" t="s">
        <v>242</v>
      </c>
      <c r="L4" s="228"/>
      <c r="M4" s="228"/>
      <c r="N4" s="228"/>
      <c r="O4" s="228"/>
      <c r="P4" s="228"/>
      <c r="Q4" s="228"/>
      <c r="R4" s="228"/>
      <c r="S4" s="228"/>
      <c r="T4" s="228"/>
    </row>
    <row r="5" spans="11:20" x14ac:dyDescent="0.25">
      <c r="K5" s="228"/>
      <c r="L5" s="228"/>
      <c r="M5" s="228"/>
      <c r="N5" s="228"/>
      <c r="O5" s="228"/>
      <c r="P5" s="228"/>
      <c r="Q5" s="228"/>
      <c r="R5" s="228"/>
      <c r="S5" s="228"/>
      <c r="T5" s="228"/>
    </row>
    <row r="6" spans="11:20" x14ac:dyDescent="0.25">
      <c r="K6" s="228"/>
      <c r="L6" s="228"/>
      <c r="M6" s="228"/>
      <c r="N6" s="228"/>
      <c r="O6" s="228"/>
      <c r="P6" s="228"/>
      <c r="Q6" s="228"/>
      <c r="R6" s="228"/>
      <c r="S6" s="228"/>
      <c r="T6" s="228"/>
    </row>
    <row r="7" spans="11:20" x14ac:dyDescent="0.25">
      <c r="K7" s="228"/>
      <c r="L7" s="228"/>
      <c r="M7" s="228"/>
      <c r="N7" s="228"/>
      <c r="O7" s="228"/>
      <c r="P7" s="228"/>
      <c r="Q7" s="228"/>
      <c r="R7" s="228"/>
      <c r="S7" s="228"/>
      <c r="T7" s="228"/>
    </row>
    <row r="8" spans="11:20" x14ac:dyDescent="0.25">
      <c r="K8" s="228"/>
      <c r="L8" s="228"/>
      <c r="M8" s="228"/>
      <c r="N8" s="228"/>
      <c r="O8" s="228"/>
      <c r="P8" s="228"/>
      <c r="Q8" s="228"/>
      <c r="R8" s="228"/>
      <c r="S8" s="228"/>
      <c r="T8" s="228"/>
    </row>
    <row r="9" spans="11:20" x14ac:dyDescent="0.25">
      <c r="K9" s="228"/>
      <c r="L9" s="228"/>
      <c r="M9" s="228"/>
      <c r="N9" s="228"/>
      <c r="O9" s="228"/>
      <c r="P9" s="228"/>
      <c r="Q9" s="228"/>
      <c r="R9" s="228"/>
      <c r="S9" s="228"/>
      <c r="T9" s="228"/>
    </row>
    <row r="10" spans="11:20" x14ac:dyDescent="0.25">
      <c r="K10" s="228"/>
      <c r="L10" s="228"/>
      <c r="M10" s="228"/>
      <c r="N10" s="228"/>
      <c r="O10" s="228"/>
      <c r="P10" s="228"/>
      <c r="Q10" s="228"/>
      <c r="R10" s="228"/>
      <c r="S10" s="228"/>
      <c r="T10" s="228"/>
    </row>
    <row r="11" spans="11:20" x14ac:dyDescent="0.25">
      <c r="K11" s="228"/>
      <c r="L11" s="228"/>
      <c r="M11" s="228"/>
      <c r="N11" s="228"/>
      <c r="O11" s="228"/>
      <c r="P11" s="228"/>
      <c r="Q11" s="228"/>
      <c r="R11" s="228"/>
      <c r="S11" s="228"/>
      <c r="T11" s="228"/>
    </row>
    <row r="12" spans="11:20" x14ac:dyDescent="0.25">
      <c r="K12" s="228"/>
      <c r="L12" s="228"/>
      <c r="M12" s="228"/>
      <c r="N12" s="228"/>
      <c r="O12" s="228"/>
      <c r="P12" s="228"/>
      <c r="Q12" s="228"/>
      <c r="R12" s="228"/>
      <c r="S12" s="228"/>
      <c r="T12" s="228"/>
    </row>
    <row r="13" spans="11:20" x14ac:dyDescent="0.25">
      <c r="K13" s="228"/>
      <c r="L13" s="228"/>
      <c r="M13" s="228"/>
      <c r="N13" s="228"/>
      <c r="O13" s="228"/>
      <c r="P13" s="228"/>
      <c r="Q13" s="228"/>
      <c r="R13" s="228"/>
      <c r="S13" s="228"/>
      <c r="T13" s="228"/>
    </row>
    <row r="14" spans="11:20" x14ac:dyDescent="0.25">
      <c r="K14" s="228"/>
      <c r="L14" s="228"/>
      <c r="M14" s="228"/>
      <c r="N14" s="228"/>
      <c r="O14" s="228"/>
      <c r="P14" s="228"/>
      <c r="Q14" s="228"/>
      <c r="R14" s="228"/>
      <c r="S14" s="228"/>
      <c r="T14" s="228"/>
    </row>
    <row r="15" spans="11:20" x14ac:dyDescent="0.25">
      <c r="K15" s="228"/>
      <c r="L15" s="228"/>
      <c r="M15" s="228"/>
      <c r="N15" s="228"/>
      <c r="O15" s="228"/>
      <c r="P15" s="228"/>
      <c r="Q15" s="228"/>
      <c r="R15" s="228"/>
      <c r="S15" s="228"/>
      <c r="T15" s="228"/>
    </row>
    <row r="16" spans="11:20" x14ac:dyDescent="0.25">
      <c r="K16" s="228"/>
      <c r="L16" s="228"/>
      <c r="M16" s="228"/>
      <c r="N16" s="228"/>
      <c r="O16" s="228"/>
      <c r="P16" s="228"/>
      <c r="Q16" s="228"/>
      <c r="R16" s="228"/>
      <c r="S16" s="228"/>
      <c r="T16" s="228"/>
    </row>
    <row r="17" spans="11:20" x14ac:dyDescent="0.25">
      <c r="K17" s="228"/>
      <c r="L17" s="228"/>
      <c r="M17" s="228"/>
      <c r="N17" s="228"/>
      <c r="O17" s="228"/>
      <c r="P17" s="228"/>
      <c r="Q17" s="228"/>
      <c r="R17" s="228"/>
      <c r="S17" s="228"/>
      <c r="T17" s="228"/>
    </row>
    <row r="18" spans="11:20" x14ac:dyDescent="0.25">
      <c r="K18" s="228"/>
      <c r="L18" s="228"/>
      <c r="M18" s="228"/>
      <c r="N18" s="228"/>
      <c r="O18" s="228"/>
      <c r="P18" s="228"/>
      <c r="Q18" s="228"/>
      <c r="R18" s="228"/>
      <c r="S18" s="228"/>
      <c r="T18" s="228"/>
    </row>
    <row r="19" spans="11:20" x14ac:dyDescent="0.25">
      <c r="K19" s="228"/>
      <c r="L19" s="228"/>
      <c r="M19" s="228"/>
      <c r="N19" s="228"/>
      <c r="O19" s="228"/>
      <c r="P19" s="228"/>
      <c r="Q19" s="228"/>
      <c r="R19" s="228"/>
      <c r="S19" s="228"/>
      <c r="T19" s="228"/>
    </row>
    <row r="20" spans="11:20" x14ac:dyDescent="0.25">
      <c r="K20" s="228"/>
      <c r="L20" s="228"/>
      <c r="M20" s="228"/>
      <c r="N20" s="228"/>
      <c r="O20" s="228"/>
      <c r="P20" s="228"/>
      <c r="Q20" s="228"/>
      <c r="R20" s="228"/>
      <c r="S20" s="228"/>
      <c r="T20" s="228"/>
    </row>
    <row r="21" spans="11:20" x14ac:dyDescent="0.25">
      <c r="K21" s="228"/>
      <c r="L21" s="228"/>
      <c r="M21" s="228"/>
      <c r="N21" s="228"/>
      <c r="O21" s="228"/>
      <c r="P21" s="228"/>
      <c r="Q21" s="228"/>
      <c r="R21" s="228"/>
      <c r="S21" s="228"/>
      <c r="T21" s="228"/>
    </row>
    <row r="22" spans="11:20" x14ac:dyDescent="0.25">
      <c r="K22" s="228"/>
      <c r="L22" s="228"/>
      <c r="M22" s="228"/>
      <c r="N22" s="228"/>
      <c r="O22" s="228"/>
      <c r="P22" s="228"/>
      <c r="Q22" s="228"/>
      <c r="R22" s="228"/>
      <c r="S22" s="228"/>
      <c r="T22" s="228"/>
    </row>
    <row r="23" spans="11:20" x14ac:dyDescent="0.25">
      <c r="K23" s="228"/>
      <c r="L23" s="228"/>
      <c r="M23" s="228"/>
      <c r="N23" s="228"/>
      <c r="O23" s="228"/>
      <c r="P23" s="228"/>
      <c r="Q23" s="228"/>
      <c r="R23" s="228"/>
      <c r="S23" s="228"/>
      <c r="T23" s="228"/>
    </row>
    <row r="24" spans="11:20" x14ac:dyDescent="0.25">
      <c r="K24" s="228"/>
      <c r="L24" s="228"/>
      <c r="M24" s="228"/>
      <c r="N24" s="228"/>
      <c r="O24" s="228"/>
      <c r="P24" s="228"/>
      <c r="Q24" s="228"/>
      <c r="R24" s="228"/>
      <c r="S24" s="228"/>
      <c r="T24" s="228"/>
    </row>
    <row r="25" spans="11:20" x14ac:dyDescent="0.25">
      <c r="K25" s="228"/>
      <c r="L25" s="228"/>
      <c r="M25" s="228"/>
      <c r="N25" s="228"/>
      <c r="O25" s="228"/>
      <c r="P25" s="228"/>
      <c r="Q25" s="228"/>
      <c r="R25" s="228"/>
      <c r="S25" s="228"/>
      <c r="T25" s="228"/>
    </row>
    <row r="26" spans="11:20" x14ac:dyDescent="0.25">
      <c r="K26" s="228"/>
      <c r="L26" s="228"/>
      <c r="M26" s="228"/>
      <c r="N26" s="228"/>
      <c r="O26" s="228"/>
      <c r="P26" s="228"/>
      <c r="Q26" s="228"/>
      <c r="R26" s="228"/>
      <c r="S26" s="228"/>
      <c r="T26" s="228"/>
    </row>
    <row r="27" spans="11:20" x14ac:dyDescent="0.25">
      <c r="K27" s="228"/>
      <c r="L27" s="228"/>
      <c r="M27" s="228"/>
      <c r="N27" s="228"/>
      <c r="O27" s="228"/>
      <c r="P27" s="228"/>
      <c r="Q27" s="228"/>
      <c r="R27" s="228"/>
      <c r="S27" s="228"/>
      <c r="T27" s="228"/>
    </row>
    <row r="28" spans="11:20" x14ac:dyDescent="0.25">
      <c r="K28" s="228"/>
      <c r="L28" s="228"/>
      <c r="M28" s="228"/>
      <c r="N28" s="228"/>
      <c r="O28" s="228"/>
      <c r="P28" s="228"/>
      <c r="Q28" s="228"/>
      <c r="R28" s="228"/>
      <c r="S28" s="228"/>
      <c r="T28" s="228"/>
    </row>
    <row r="29" spans="11:20" x14ac:dyDescent="0.25">
      <c r="K29" s="228"/>
      <c r="L29" s="228"/>
      <c r="M29" s="228"/>
      <c r="N29" s="228"/>
      <c r="O29" s="228"/>
      <c r="P29" s="228"/>
      <c r="Q29" s="228"/>
      <c r="R29" s="228"/>
      <c r="S29" s="228"/>
      <c r="T29" s="228"/>
    </row>
    <row r="30" spans="11:20" x14ac:dyDescent="0.25">
      <c r="K30" s="228"/>
      <c r="L30" s="228"/>
      <c r="M30" s="228"/>
      <c r="N30" s="228"/>
      <c r="O30" s="228"/>
      <c r="P30" s="228"/>
      <c r="Q30" s="228"/>
      <c r="R30" s="228"/>
      <c r="S30" s="228"/>
      <c r="T30" s="228"/>
    </row>
    <row r="31" spans="11:20" x14ac:dyDescent="0.25">
      <c r="K31" s="228"/>
      <c r="L31" s="228"/>
      <c r="M31" s="228"/>
      <c r="N31" s="228"/>
      <c r="O31" s="228"/>
      <c r="P31" s="228"/>
      <c r="Q31" s="228"/>
      <c r="R31" s="228"/>
      <c r="S31" s="228"/>
      <c r="T31" s="228"/>
    </row>
    <row r="32" spans="11:20" x14ac:dyDescent="0.25">
      <c r="K32" s="228"/>
      <c r="L32" s="228"/>
      <c r="M32" s="228"/>
      <c r="N32" s="228"/>
      <c r="O32" s="228"/>
      <c r="P32" s="228"/>
      <c r="Q32" s="228"/>
      <c r="R32" s="228"/>
      <c r="S32" s="228"/>
      <c r="T32" s="228"/>
    </row>
    <row r="33" spans="11:20" x14ac:dyDescent="0.25">
      <c r="K33" s="228"/>
      <c r="L33" s="228"/>
      <c r="M33" s="228"/>
      <c r="N33" s="228"/>
      <c r="O33" s="228"/>
      <c r="P33" s="228"/>
      <c r="Q33" s="228"/>
      <c r="R33" s="228"/>
      <c r="S33" s="228"/>
      <c r="T33" s="228"/>
    </row>
    <row r="34" spans="11:20" x14ac:dyDescent="0.25">
      <c r="K34" s="228"/>
      <c r="L34" s="228"/>
      <c r="M34" s="228"/>
      <c r="N34" s="228"/>
      <c r="O34" s="228"/>
      <c r="P34" s="228"/>
      <c r="Q34" s="228"/>
      <c r="R34" s="228"/>
      <c r="S34" s="228"/>
      <c r="T34" s="228"/>
    </row>
  </sheetData>
  <sheetProtection algorithmName="SHA-512" hashValue="xReGa6UJa3gdXQb5Q2FMottzPRW1Jf867x0QzTgtBI006UGyzDRKTOik2B4PFTfZrysYOf5SXvS9ckIedOgUYA==" saltValue="wvGwOaWlURJ4507MzZjXkA==" spinCount="100000" sheet="1" objects="1" scenarios="1"/>
  <mergeCells count="1">
    <mergeCell ref="K4:T3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D6E57-0EE0-4829-99D0-2017609F6EDA}">
  <dimension ref="A1:XFD245"/>
  <sheetViews>
    <sheetView topLeftCell="A195" zoomScale="70" zoomScaleNormal="70" workbookViewId="0">
      <selection activeCell="F226" sqref="F226"/>
    </sheetView>
  </sheetViews>
  <sheetFormatPr baseColWidth="10" defaultColWidth="11.42578125" defaultRowHeight="15" zeroHeight="1" x14ac:dyDescent="0.25"/>
  <cols>
    <col min="1" max="1" width="3.28515625" style="24" customWidth="1"/>
    <col min="2" max="2" width="14.85546875" style="24" customWidth="1"/>
    <col min="3" max="3" width="21.5703125" style="24" customWidth="1"/>
    <col min="4" max="4" width="16.5703125" style="24" customWidth="1"/>
    <col min="5" max="5" width="17.5703125" style="24" customWidth="1"/>
    <col min="6" max="6" width="14.85546875" style="24" customWidth="1"/>
    <col min="7" max="7" width="11.42578125" style="24" customWidth="1"/>
    <col min="8" max="8" width="12.5703125" style="24" bestFit="1" customWidth="1"/>
    <col min="9" max="9" width="13.42578125" style="24" customWidth="1"/>
    <col min="10" max="10" width="13.5703125" style="24" bestFit="1" customWidth="1"/>
    <col min="11" max="11" width="14.7109375" style="24" customWidth="1"/>
    <col min="12" max="13" width="13.5703125" style="24" bestFit="1" customWidth="1"/>
    <col min="14" max="14" width="14.5703125" style="24" customWidth="1"/>
    <col min="15" max="15" width="12.5703125" style="24" customWidth="1"/>
    <col min="16" max="18" width="11.42578125" style="24" customWidth="1"/>
    <col min="19" max="19" width="16.42578125" style="24" customWidth="1"/>
    <col min="20" max="20" width="11.42578125" style="24"/>
    <col min="21" max="16383" width="0" style="24" hidden="1" customWidth="1"/>
    <col min="16384" max="16384" width="11.42578125" style="24"/>
  </cols>
  <sheetData>
    <row r="1" spans="3:16" x14ac:dyDescent="0.25"/>
    <row r="2" spans="3:16" ht="15.75" thickBot="1" x14ac:dyDescent="0.3"/>
    <row r="3" spans="3:16" ht="33.75" customHeight="1" thickBot="1" x14ac:dyDescent="0.3">
      <c r="C3" s="170" t="s">
        <v>62</v>
      </c>
      <c r="D3" s="198"/>
      <c r="E3" s="198"/>
      <c r="F3" s="198"/>
      <c r="G3" s="198"/>
      <c r="H3" s="198"/>
      <c r="I3" s="198"/>
      <c r="J3" s="198"/>
      <c r="K3" s="198"/>
      <c r="L3" s="198"/>
      <c r="M3" s="198"/>
      <c r="N3" s="198"/>
      <c r="O3" s="198"/>
      <c r="P3" s="199"/>
    </row>
    <row r="4" spans="3:16" x14ac:dyDescent="0.25">
      <c r="C4" s="187" t="s">
        <v>58</v>
      </c>
      <c r="D4" s="200"/>
      <c r="E4" s="200"/>
      <c r="F4" s="200"/>
      <c r="G4" s="200"/>
      <c r="H4" s="200"/>
      <c r="I4" s="200"/>
      <c r="J4" s="200"/>
      <c r="K4" s="200"/>
      <c r="L4" s="200"/>
      <c r="M4" s="200"/>
      <c r="N4" s="200"/>
      <c r="O4" s="200"/>
      <c r="P4" s="201"/>
    </row>
    <row r="5" spans="3:16" x14ac:dyDescent="0.25">
      <c r="C5" s="202"/>
      <c r="D5" s="203"/>
      <c r="E5" s="203"/>
      <c r="F5" s="203"/>
      <c r="G5" s="203"/>
      <c r="H5" s="203"/>
      <c r="I5" s="203"/>
      <c r="J5" s="203"/>
      <c r="K5" s="203"/>
      <c r="L5" s="203"/>
      <c r="M5" s="203"/>
      <c r="N5" s="203"/>
      <c r="O5" s="203"/>
      <c r="P5" s="204"/>
    </row>
    <row r="6" spans="3:16" x14ac:dyDescent="0.25">
      <c r="C6" s="202"/>
      <c r="D6" s="203"/>
      <c r="E6" s="203"/>
      <c r="F6" s="203"/>
      <c r="G6" s="203"/>
      <c r="H6" s="203"/>
      <c r="I6" s="203"/>
      <c r="J6" s="203"/>
      <c r="K6" s="203"/>
      <c r="L6" s="203"/>
      <c r="M6" s="203"/>
      <c r="N6" s="203"/>
      <c r="O6" s="203"/>
      <c r="P6" s="204"/>
    </row>
    <row r="7" spans="3:16" x14ac:dyDescent="0.25">
      <c r="C7" s="202"/>
      <c r="D7" s="203"/>
      <c r="E7" s="203"/>
      <c r="F7" s="203"/>
      <c r="G7" s="203"/>
      <c r="H7" s="203"/>
      <c r="I7" s="203"/>
      <c r="J7" s="203"/>
      <c r="K7" s="203"/>
      <c r="L7" s="203"/>
      <c r="M7" s="203"/>
      <c r="N7" s="203"/>
      <c r="O7" s="203"/>
      <c r="P7" s="204"/>
    </row>
    <row r="8" spans="3:16" x14ac:dyDescent="0.25">
      <c r="C8" s="202"/>
      <c r="D8" s="203"/>
      <c r="E8" s="203"/>
      <c r="F8" s="203"/>
      <c r="G8" s="203"/>
      <c r="H8" s="203"/>
      <c r="I8" s="203"/>
      <c r="J8" s="203"/>
      <c r="K8" s="203"/>
      <c r="L8" s="203"/>
      <c r="M8" s="203"/>
      <c r="N8" s="203"/>
      <c r="O8" s="203"/>
      <c r="P8" s="204"/>
    </row>
    <row r="9" spans="3:16" x14ac:dyDescent="0.25">
      <c r="C9" s="202"/>
      <c r="D9" s="203"/>
      <c r="E9" s="203"/>
      <c r="F9" s="203"/>
      <c r="G9" s="203"/>
      <c r="H9" s="203"/>
      <c r="I9" s="203"/>
      <c r="J9" s="203"/>
      <c r="K9" s="203"/>
      <c r="L9" s="203"/>
      <c r="M9" s="203"/>
      <c r="N9" s="203"/>
      <c r="O9" s="203"/>
      <c r="P9" s="204"/>
    </row>
    <row r="10" spans="3:16" ht="15.75" thickBot="1" x14ac:dyDescent="0.3">
      <c r="C10" s="205"/>
      <c r="D10" s="206"/>
      <c r="E10" s="206"/>
      <c r="F10" s="206"/>
      <c r="G10" s="206"/>
      <c r="H10" s="206"/>
      <c r="I10" s="206"/>
      <c r="J10" s="206"/>
      <c r="K10" s="206"/>
      <c r="L10" s="206"/>
      <c r="M10" s="206"/>
      <c r="N10" s="206"/>
      <c r="O10" s="206"/>
      <c r="P10" s="207"/>
    </row>
    <row r="11" spans="3:16" x14ac:dyDescent="0.25"/>
    <row r="12" spans="3:16" ht="21" x14ac:dyDescent="0.35">
      <c r="C12" s="26" t="s">
        <v>80</v>
      </c>
    </row>
    <row r="13" spans="3:16" x14ac:dyDescent="0.25">
      <c r="C13" s="3">
        <v>1</v>
      </c>
      <c r="D13" s="24" t="s">
        <v>82</v>
      </c>
    </row>
    <row r="14" spans="3:16" ht="21" x14ac:dyDescent="0.35">
      <c r="C14" s="3">
        <v>2</v>
      </c>
      <c r="D14" s="24" t="s">
        <v>83</v>
      </c>
    </row>
    <row r="15" spans="3:16" x14ac:dyDescent="0.25">
      <c r="C15" s="3">
        <v>3</v>
      </c>
      <c r="D15" s="24" t="s">
        <v>81</v>
      </c>
    </row>
    <row r="16" spans="3:16" x14ac:dyDescent="0.25"/>
    <row r="17" spans="2:16" ht="15.75" thickBot="1" x14ac:dyDescent="0.3">
      <c r="B17" s="3">
        <v>1</v>
      </c>
      <c r="C17" s="24" t="s">
        <v>79</v>
      </c>
    </row>
    <row r="18" spans="2:16" ht="15.75" thickBot="1" x14ac:dyDescent="0.3">
      <c r="C18" s="208" t="s">
        <v>61</v>
      </c>
      <c r="D18" s="198"/>
      <c r="E18" s="198"/>
      <c r="F18" s="198"/>
      <c r="G18" s="198"/>
      <c r="H18" s="198"/>
      <c r="I18" s="198"/>
      <c r="J18" s="198"/>
      <c r="K18" s="198"/>
      <c r="L18" s="198"/>
      <c r="M18" s="198"/>
      <c r="N18" s="198"/>
      <c r="O18" s="198"/>
      <c r="P18" s="199"/>
    </row>
    <row r="19" spans="2:16" ht="15.75" thickBot="1" x14ac:dyDescent="0.3">
      <c r="C19" s="209" t="s">
        <v>63</v>
      </c>
      <c r="D19" s="209"/>
      <c r="E19" s="209"/>
      <c r="F19" s="209"/>
      <c r="G19" s="25" t="s">
        <v>64</v>
      </c>
      <c r="H19" s="25"/>
      <c r="I19" s="25"/>
      <c r="J19" s="25"/>
      <c r="K19" s="25"/>
      <c r="L19" s="25"/>
      <c r="M19" s="210" t="s">
        <v>65</v>
      </c>
      <c r="N19" s="210"/>
      <c r="O19" s="210"/>
      <c r="P19" s="210"/>
    </row>
    <row r="20" spans="2:16" ht="32.25" customHeight="1" thickBot="1" x14ac:dyDescent="0.3">
      <c r="C20" s="196">
        <v>1</v>
      </c>
      <c r="D20" s="196"/>
      <c r="E20" s="196"/>
      <c r="F20" s="196"/>
      <c r="G20" s="197" t="s">
        <v>67</v>
      </c>
      <c r="H20" s="197"/>
      <c r="I20" s="197"/>
      <c r="J20" s="197"/>
      <c r="K20" s="197"/>
      <c r="L20" s="197"/>
      <c r="M20" s="197" t="s">
        <v>73</v>
      </c>
      <c r="N20" s="197"/>
      <c r="O20" s="197"/>
      <c r="P20" s="197"/>
    </row>
    <row r="21" spans="2:16" ht="31.5" customHeight="1" thickBot="1" x14ac:dyDescent="0.3">
      <c r="C21" s="196">
        <v>3</v>
      </c>
      <c r="D21" s="196"/>
      <c r="E21" s="196"/>
      <c r="F21" s="196"/>
      <c r="G21" s="211" t="s">
        <v>68</v>
      </c>
      <c r="H21" s="211"/>
      <c r="I21" s="211"/>
      <c r="J21" s="211"/>
      <c r="K21" s="211"/>
      <c r="L21" s="211"/>
      <c r="M21" s="197" t="s">
        <v>74</v>
      </c>
      <c r="N21" s="197"/>
      <c r="O21" s="197"/>
      <c r="P21" s="197"/>
    </row>
    <row r="22" spans="2:16" ht="16.5" customHeight="1" thickBot="1" x14ac:dyDescent="0.3">
      <c r="C22" s="196">
        <v>5</v>
      </c>
      <c r="D22" s="196"/>
      <c r="E22" s="196"/>
      <c r="F22" s="196"/>
      <c r="G22" s="211" t="s">
        <v>69</v>
      </c>
      <c r="H22" s="211"/>
      <c r="I22" s="211"/>
      <c r="J22" s="211"/>
      <c r="K22" s="211"/>
      <c r="L22" s="211"/>
      <c r="M22" s="197" t="s">
        <v>75</v>
      </c>
      <c r="N22" s="197"/>
      <c r="O22" s="197"/>
      <c r="P22" s="197"/>
    </row>
    <row r="23" spans="2:16" ht="33" customHeight="1" thickBot="1" x14ac:dyDescent="0.3">
      <c r="C23" s="196">
        <v>7</v>
      </c>
      <c r="D23" s="196"/>
      <c r="E23" s="196"/>
      <c r="F23" s="196"/>
      <c r="G23" s="211" t="s">
        <v>70</v>
      </c>
      <c r="H23" s="211"/>
      <c r="I23" s="211"/>
      <c r="J23" s="211"/>
      <c r="K23" s="211"/>
      <c r="L23" s="211"/>
      <c r="M23" s="197" t="s">
        <v>76</v>
      </c>
      <c r="N23" s="197"/>
      <c r="O23" s="197"/>
      <c r="P23" s="197"/>
    </row>
    <row r="24" spans="2:16" ht="30" customHeight="1" thickBot="1" x14ac:dyDescent="0.3">
      <c r="C24" s="196">
        <v>9</v>
      </c>
      <c r="D24" s="196"/>
      <c r="E24" s="196"/>
      <c r="F24" s="196"/>
      <c r="G24" s="211" t="s">
        <v>71</v>
      </c>
      <c r="H24" s="211"/>
      <c r="I24" s="211"/>
      <c r="J24" s="211"/>
      <c r="K24" s="211"/>
      <c r="L24" s="211"/>
      <c r="M24" s="197" t="s">
        <v>77</v>
      </c>
      <c r="N24" s="197"/>
      <c r="O24" s="197"/>
      <c r="P24" s="197"/>
    </row>
    <row r="25" spans="2:16" x14ac:dyDescent="0.25">
      <c r="C25" s="196" t="s">
        <v>66</v>
      </c>
      <c r="D25" s="196"/>
      <c r="E25" s="196"/>
      <c r="F25" s="196"/>
      <c r="G25" s="213" t="s">
        <v>72</v>
      </c>
      <c r="H25" s="213"/>
      <c r="I25" s="213"/>
      <c r="J25" s="213"/>
      <c r="K25" s="213"/>
      <c r="L25" s="213"/>
      <c r="M25" s="214" t="s">
        <v>78</v>
      </c>
      <c r="N25" s="214"/>
      <c r="O25" s="214"/>
      <c r="P25" s="214"/>
    </row>
    <row r="26" spans="2:16" x14ac:dyDescent="0.25">
      <c r="C26" s="27"/>
      <c r="D26" s="27"/>
      <c r="E26" s="27"/>
      <c r="F26" s="27"/>
      <c r="G26" s="28"/>
      <c r="H26" s="28"/>
      <c r="I26" s="28"/>
      <c r="J26" s="28"/>
      <c r="K26" s="28"/>
      <c r="L26" s="28"/>
      <c r="M26" s="29"/>
      <c r="N26" s="29"/>
      <c r="O26" s="29"/>
      <c r="P26" s="29"/>
    </row>
    <row r="27" spans="2:16" x14ac:dyDescent="0.25">
      <c r="C27" s="3" t="s">
        <v>84</v>
      </c>
    </row>
    <row r="28" spans="2:16" x14ac:dyDescent="0.25">
      <c r="C28" s="24" t="s">
        <v>85</v>
      </c>
    </row>
    <row r="29" spans="2:16" x14ac:dyDescent="0.25">
      <c r="C29" s="24" t="s">
        <v>86</v>
      </c>
    </row>
    <row r="30" spans="2:16" x14ac:dyDescent="0.25">
      <c r="C30" s="3" t="s">
        <v>87</v>
      </c>
    </row>
    <row r="31" spans="2:16" x14ac:dyDescent="0.25"/>
    <row r="32" spans="2:16" x14ac:dyDescent="0.25"/>
    <row r="33" spans="1:14" x14ac:dyDescent="0.25"/>
    <row r="34" spans="1:14" x14ac:dyDescent="0.25"/>
    <row r="35" spans="1:14" x14ac:dyDescent="0.25"/>
    <row r="36" spans="1:14" x14ac:dyDescent="0.25"/>
    <row r="37" spans="1:14" x14ac:dyDescent="0.25"/>
    <row r="38" spans="1:14" x14ac:dyDescent="0.25"/>
    <row r="39" spans="1:14" x14ac:dyDescent="0.25"/>
    <row r="40" spans="1:14" x14ac:dyDescent="0.25"/>
    <row r="41" spans="1:14" x14ac:dyDescent="0.25"/>
    <row r="42" spans="1:14" x14ac:dyDescent="0.25">
      <c r="C42" s="3" t="s">
        <v>88</v>
      </c>
    </row>
    <row r="43" spans="1:14" ht="15.75" thickBot="1" x14ac:dyDescent="0.3">
      <c r="C43" s="24" t="s">
        <v>93</v>
      </c>
      <c r="D43" s="24" t="s">
        <v>94</v>
      </c>
      <c r="E43" s="24" t="s">
        <v>95</v>
      </c>
      <c r="F43" s="24" t="s">
        <v>96</v>
      </c>
    </row>
    <row r="44" spans="1:14" ht="47.25" customHeight="1" thickBot="1" x14ac:dyDescent="0.3">
      <c r="B44" s="33" t="s">
        <v>92</v>
      </c>
      <c r="C44" s="42" t="s">
        <v>89</v>
      </c>
      <c r="D44" s="42" t="s">
        <v>48</v>
      </c>
      <c r="E44" s="42" t="s">
        <v>90</v>
      </c>
      <c r="F44" s="42" t="s">
        <v>91</v>
      </c>
      <c r="G44" s="215" t="s">
        <v>97</v>
      </c>
      <c r="H44" s="215"/>
      <c r="I44" s="215"/>
      <c r="J44" s="215"/>
      <c r="K44" s="42" t="s">
        <v>99</v>
      </c>
    </row>
    <row r="45" spans="1:14" ht="30" x14ac:dyDescent="0.25">
      <c r="A45" s="24" t="s">
        <v>93</v>
      </c>
      <c r="B45" s="42" t="s">
        <v>89</v>
      </c>
      <c r="C45" s="49">
        <v>1</v>
      </c>
      <c r="D45" s="43">
        <v>0.25</v>
      </c>
      <c r="E45" s="43">
        <v>3</v>
      </c>
      <c r="F45" s="43">
        <v>0.5</v>
      </c>
      <c r="G45" s="58">
        <f t="shared" ref="G45:J48" si="0">C45/C$49</f>
        <v>0.13636363636363638</v>
      </c>
      <c r="H45" s="58">
        <f t="shared" si="0"/>
        <v>0.13043478260869565</v>
      </c>
      <c r="I45" s="58">
        <f t="shared" si="0"/>
        <v>0.3</v>
      </c>
      <c r="J45" s="58">
        <f t="shared" si="0"/>
        <v>0.10344827586206895</v>
      </c>
      <c r="K45" s="149">
        <f>AVERAGE(G45:J45)</f>
        <v>0.16756167370860026</v>
      </c>
      <c r="M45" s="24" t="str">
        <f>TEXT("C1 =",1)&amp;FIXED(K45,2)</f>
        <v>C1 =0,17</v>
      </c>
      <c r="N45" s="56" t="s">
        <v>89</v>
      </c>
    </row>
    <row r="46" spans="1:14" ht="30" x14ac:dyDescent="0.25">
      <c r="A46" s="24" t="s">
        <v>94</v>
      </c>
      <c r="B46" s="42" t="s">
        <v>48</v>
      </c>
      <c r="C46" s="58">
        <f>IF(ISBLANK(INDEX($C$45:$F$48,1,2)),"",1/INDEX($C$45:$F$48,1,2))</f>
        <v>4</v>
      </c>
      <c r="D46" s="49">
        <v>1</v>
      </c>
      <c r="E46" s="43">
        <v>3</v>
      </c>
      <c r="F46" s="43">
        <v>3</v>
      </c>
      <c r="G46" s="58">
        <f t="shared" si="0"/>
        <v>0.54545454545454553</v>
      </c>
      <c r="H46" s="58">
        <f t="shared" si="0"/>
        <v>0.52173913043478259</v>
      </c>
      <c r="I46" s="58">
        <f t="shared" si="0"/>
        <v>0.3</v>
      </c>
      <c r="J46" s="58">
        <f t="shared" si="0"/>
        <v>0.6206896551724137</v>
      </c>
      <c r="K46" s="149">
        <f>AVERAGE(G46:J46)</f>
        <v>0.49697083276543547</v>
      </c>
      <c r="M46" s="24" t="str">
        <f>TEXT("C2 =",1)&amp;FIXED(K46,2)</f>
        <v>C2 =0,50</v>
      </c>
      <c r="N46" s="56" t="s">
        <v>48</v>
      </c>
    </row>
    <row r="47" spans="1:14" ht="30" x14ac:dyDescent="0.25">
      <c r="A47" s="24" t="s">
        <v>95</v>
      </c>
      <c r="B47" s="42" t="s">
        <v>90</v>
      </c>
      <c r="C47" s="58">
        <f>IF(ISBLANK(INDEX($C$45:$F$48,1,3)),"",1/INDEX($C$45:$F$48,1,3))</f>
        <v>0.33333333333333331</v>
      </c>
      <c r="D47" s="58">
        <f>IF(ISBLANK(INDEX($C$45:$F$48,2,3)),"",1/INDEX($C$45:$F$48,2,3))</f>
        <v>0.33333333333333331</v>
      </c>
      <c r="E47" s="49">
        <v>1</v>
      </c>
      <c r="F47" s="43">
        <v>0.33333333333333331</v>
      </c>
      <c r="G47" s="58">
        <f t="shared" si="0"/>
        <v>4.5454545454545456E-2</v>
      </c>
      <c r="H47" s="58">
        <f t="shared" si="0"/>
        <v>0.17391304347826086</v>
      </c>
      <c r="I47" s="58">
        <f t="shared" si="0"/>
        <v>0.1</v>
      </c>
      <c r="J47" s="58">
        <f t="shared" si="0"/>
        <v>6.8965517241379296E-2</v>
      </c>
      <c r="K47" s="149">
        <f>AVERAGE(G47:J47)</f>
        <v>9.7083276543546412E-2</v>
      </c>
      <c r="M47" s="24" t="str">
        <f>TEXT("C3 =",1)&amp;FIXED(K47,2)</f>
        <v>C3 =0,10</v>
      </c>
      <c r="N47" s="56" t="s">
        <v>90</v>
      </c>
    </row>
    <row r="48" spans="1:14" ht="30" x14ac:dyDescent="0.25">
      <c r="A48" s="24" t="s">
        <v>96</v>
      </c>
      <c r="B48" s="42" t="s">
        <v>91</v>
      </c>
      <c r="C48" s="58">
        <f>IF(ISBLANK(INDEX($C$45:$F$48,1,4)),"",1/INDEX($C$45:$F$48,1,4))</f>
        <v>2</v>
      </c>
      <c r="D48" s="58">
        <f>IF(ISBLANK(INDEX($C$45:$F$48,2,4)),"",1/INDEX($C$45:$F$48,2,4))</f>
        <v>0.33333333333333331</v>
      </c>
      <c r="E48" s="58">
        <f>IF(ISBLANK(INDEX($C$45:$F$48,3,4)),"",1/INDEX($C$45:$F$48,3,4))</f>
        <v>3</v>
      </c>
      <c r="F48" s="49">
        <v>1</v>
      </c>
      <c r="G48" s="58">
        <f t="shared" si="0"/>
        <v>0.27272727272727276</v>
      </c>
      <c r="H48" s="58">
        <f t="shared" si="0"/>
        <v>0.17391304347826086</v>
      </c>
      <c r="I48" s="58">
        <f t="shared" si="0"/>
        <v>0.3</v>
      </c>
      <c r="J48" s="58">
        <f t="shared" si="0"/>
        <v>0.2068965517241379</v>
      </c>
      <c r="K48" s="149">
        <f>AVERAGE(G48:J48)</f>
        <v>0.23838421698241788</v>
      </c>
      <c r="M48" s="24" t="str">
        <f>TEXT("C4 =",1)&amp;FIXED(K48,2)</f>
        <v>C4 =0,24</v>
      </c>
      <c r="N48" s="56" t="s">
        <v>91</v>
      </c>
    </row>
    <row r="49" spans="2:16" x14ac:dyDescent="0.25">
      <c r="C49" s="130">
        <f t="shared" ref="C49:J49" si="1">SUM(C45:C48)</f>
        <v>7.333333333333333</v>
      </c>
      <c r="D49" s="130">
        <f t="shared" si="1"/>
        <v>1.9166666666666665</v>
      </c>
      <c r="E49" s="130">
        <f t="shared" si="1"/>
        <v>10</v>
      </c>
      <c r="F49" s="130">
        <f t="shared" si="1"/>
        <v>4.8333333333333339</v>
      </c>
      <c r="G49" s="24">
        <f t="shared" si="1"/>
        <v>1</v>
      </c>
      <c r="H49" s="24">
        <f t="shared" si="1"/>
        <v>1</v>
      </c>
      <c r="I49" s="24">
        <f t="shared" si="1"/>
        <v>1</v>
      </c>
      <c r="J49" s="24">
        <f t="shared" si="1"/>
        <v>0.99999999999999989</v>
      </c>
    </row>
    <row r="50" spans="2:16" x14ac:dyDescent="0.25">
      <c r="G50" s="3" t="s">
        <v>98</v>
      </c>
    </row>
    <row r="51" spans="2:16" x14ac:dyDescent="0.25"/>
    <row r="52" spans="2:16" x14ac:dyDescent="0.25"/>
    <row r="53" spans="2:16" x14ac:dyDescent="0.25">
      <c r="C53" s="3" t="s">
        <v>100</v>
      </c>
    </row>
    <row r="54" spans="2:16" x14ac:dyDescent="0.25">
      <c r="B54" s="36" t="s">
        <v>107</v>
      </c>
      <c r="C54" s="24" t="s">
        <v>101</v>
      </c>
    </row>
    <row r="55" spans="2:16" ht="39.950000000000003" customHeight="1" x14ac:dyDescent="0.25">
      <c r="B55" s="37" t="s">
        <v>107</v>
      </c>
      <c r="C55" s="216" t="s">
        <v>102</v>
      </c>
      <c r="D55" s="216"/>
      <c r="E55" s="216"/>
      <c r="F55" s="216"/>
      <c r="G55" s="216"/>
      <c r="H55" s="216"/>
      <c r="I55" s="216"/>
      <c r="J55" s="216"/>
      <c r="K55" s="216"/>
      <c r="L55" s="30"/>
      <c r="M55" s="30"/>
      <c r="N55" s="30"/>
      <c r="O55" s="30"/>
      <c r="P55" s="30"/>
    </row>
    <row r="56" spans="2:16" ht="32.25" customHeight="1" x14ac:dyDescent="0.25">
      <c r="B56" s="37" t="s">
        <v>107</v>
      </c>
      <c r="C56" s="216" t="s">
        <v>103</v>
      </c>
      <c r="D56" s="216"/>
      <c r="E56" s="216"/>
      <c r="F56" s="216"/>
      <c r="G56" s="216"/>
      <c r="H56" s="216"/>
      <c r="I56" s="216"/>
      <c r="J56" s="216"/>
      <c r="K56" s="216"/>
    </row>
    <row r="57" spans="2:16" x14ac:dyDescent="0.25">
      <c r="B57" s="37" t="s">
        <v>107</v>
      </c>
      <c r="C57" s="24" t="s">
        <v>104</v>
      </c>
    </row>
    <row r="58" spans="2:16" x14ac:dyDescent="0.25"/>
    <row r="59" spans="2:16" x14ac:dyDescent="0.25">
      <c r="C59" s="3" t="s">
        <v>105</v>
      </c>
    </row>
    <row r="60" spans="2:16" x14ac:dyDescent="0.25">
      <c r="B60" s="3">
        <v>1</v>
      </c>
      <c r="C60" s="24" t="s">
        <v>108</v>
      </c>
    </row>
    <row r="61" spans="2:16" x14ac:dyDescent="0.25">
      <c r="B61" s="3">
        <v>2</v>
      </c>
      <c r="C61" s="24" t="s">
        <v>109</v>
      </c>
    </row>
    <row r="62" spans="2:16" x14ac:dyDescent="0.25">
      <c r="B62" s="3">
        <v>3</v>
      </c>
      <c r="C62" s="24" t="s">
        <v>110</v>
      </c>
    </row>
    <row r="63" spans="2:16" x14ac:dyDescent="0.25">
      <c r="B63" s="3">
        <v>4</v>
      </c>
      <c r="C63" s="24" t="s">
        <v>106</v>
      </c>
    </row>
    <row r="64" spans="2:16" x14ac:dyDescent="0.25">
      <c r="B64" s="3"/>
    </row>
    <row r="65" spans="2:14" x14ac:dyDescent="0.25">
      <c r="C65" s="42" t="s">
        <v>132</v>
      </c>
      <c r="E65" s="42" t="s">
        <v>133</v>
      </c>
    </row>
    <row r="66" spans="2:14" x14ac:dyDescent="0.25">
      <c r="C66" s="131" cm="1">
        <f t="array" ref="C66:C69">MMULT(C45:F48,K45:K48)</f>
        <v>0.70224632002180731</v>
      </c>
      <c r="E66" s="131">
        <f>C66/K45</f>
        <v>4.1909722222222223</v>
      </c>
      <c r="H66" s="3" t="s">
        <v>112</v>
      </c>
    </row>
    <row r="67" spans="2:14" ht="15.75" customHeight="1" x14ac:dyDescent="0.25">
      <c r="C67" s="131">
        <v>2.1736200081777293</v>
      </c>
      <c r="E67" s="131">
        <f>C67/K46</f>
        <v>4.3737375815044119</v>
      </c>
      <c r="G67" s="38" t="s">
        <v>111</v>
      </c>
      <c r="H67" s="132">
        <f>AVERAGE(E66:E69)</f>
        <v>4.2468372086522193</v>
      </c>
      <c r="J67" s="212" t="s">
        <v>234</v>
      </c>
      <c r="K67" s="212"/>
    </row>
    <row r="68" spans="2:14" x14ac:dyDescent="0.25">
      <c r="C68" s="131">
        <v>0.39805551769569758</v>
      </c>
      <c r="E68" s="131">
        <f>C68/K47</f>
        <v>4.1001450699611581</v>
      </c>
      <c r="J68" s="212"/>
      <c r="K68" s="212"/>
      <c r="M68" s="136">
        <f>(H67-4)/(4-1)</f>
        <v>8.2279069550739756E-2</v>
      </c>
    </row>
    <row r="69" spans="2:14" x14ac:dyDescent="0.25">
      <c r="C69" s="131">
        <v>1.0304143382854027</v>
      </c>
      <c r="E69" s="131">
        <f>C69/K48</f>
        <v>4.3224939609210846</v>
      </c>
      <c r="J69" s="40"/>
    </row>
    <row r="70" spans="2:14" x14ac:dyDescent="0.25"/>
    <row r="71" spans="2:14" x14ac:dyDescent="0.25"/>
    <row r="72" spans="2:14" x14ac:dyDescent="0.25"/>
    <row r="73" spans="2:14" x14ac:dyDescent="0.25"/>
    <row r="74" spans="2:14" x14ac:dyDescent="0.25">
      <c r="J74" s="217" t="s">
        <v>233</v>
      </c>
      <c r="K74" s="217"/>
    </row>
    <row r="75" spans="2:14" x14ac:dyDescent="0.25">
      <c r="B75" s="24">
        <v>5</v>
      </c>
      <c r="C75" s="24" t="s">
        <v>114</v>
      </c>
      <c r="J75" s="217"/>
      <c r="K75" s="217"/>
      <c r="M75" s="142">
        <f>(1.98*(4-2))/4</f>
        <v>0.99</v>
      </c>
    </row>
    <row r="76" spans="2:14" x14ac:dyDescent="0.25">
      <c r="J76" s="36"/>
      <c r="K76" s="36"/>
    </row>
    <row r="77" spans="2:14" x14ac:dyDescent="0.25"/>
    <row r="78" spans="2:14" x14ac:dyDescent="0.25"/>
    <row r="79" spans="2:14" x14ac:dyDescent="0.25">
      <c r="J79" s="218" t="s">
        <v>117</v>
      </c>
      <c r="K79" s="219"/>
    </row>
    <row r="80" spans="2:14" x14ac:dyDescent="0.25">
      <c r="B80" s="24">
        <v>6</v>
      </c>
      <c r="C80" s="24" t="s">
        <v>116</v>
      </c>
      <c r="J80" s="219"/>
      <c r="K80" s="219"/>
      <c r="M80" s="129">
        <f>M68/M75</f>
        <v>8.3110171263373486E-2</v>
      </c>
      <c r="N80" s="24" t="str">
        <f>IF(M80&gt;10%,"Inconsistente","Concistente")</f>
        <v>Concistente</v>
      </c>
    </row>
    <row r="81" spans="2:18" x14ac:dyDescent="0.25"/>
    <row r="82" spans="2:18" x14ac:dyDescent="0.25"/>
    <row r="83" spans="2:18" x14ac:dyDescent="0.25"/>
    <row r="84" spans="2:18" x14ac:dyDescent="0.25"/>
    <row r="85" spans="2:18" x14ac:dyDescent="0.25"/>
    <row r="86" spans="2:18" ht="18.75" x14ac:dyDescent="0.3">
      <c r="C86" s="220" t="s">
        <v>122</v>
      </c>
      <c r="D86" s="220"/>
      <c r="E86" s="220"/>
      <c r="F86" s="220"/>
      <c r="G86" s="220"/>
      <c r="H86" s="220"/>
      <c r="I86" s="220"/>
      <c r="J86" s="220"/>
      <c r="K86" s="220"/>
      <c r="L86" s="220"/>
      <c r="M86" s="220"/>
      <c r="N86" s="220"/>
      <c r="O86" s="220"/>
      <c r="P86" s="220"/>
      <c r="Q86" s="220"/>
      <c r="R86" s="220"/>
    </row>
    <row r="87" spans="2:18" x14ac:dyDescent="0.25"/>
    <row r="88" spans="2:18" ht="61.5" customHeight="1" x14ac:dyDescent="0.25">
      <c r="B88" s="52" t="s">
        <v>118</v>
      </c>
      <c r="C88" s="54" t="s">
        <v>34</v>
      </c>
      <c r="D88" s="54" t="s">
        <v>120</v>
      </c>
      <c r="E88" s="54" t="s">
        <v>35</v>
      </c>
      <c r="F88" s="54" t="s">
        <v>36</v>
      </c>
      <c r="G88" s="54" t="s">
        <v>37</v>
      </c>
      <c r="H88" s="54" t="s">
        <v>38</v>
      </c>
      <c r="I88" s="54" t="s">
        <v>39</v>
      </c>
      <c r="J88" s="55" t="s">
        <v>40</v>
      </c>
      <c r="K88" s="54" t="s">
        <v>41</v>
      </c>
      <c r="L88" s="54" t="s">
        <v>42</v>
      </c>
      <c r="M88" s="54" t="s">
        <v>43</v>
      </c>
      <c r="N88" s="54" t="s">
        <v>44</v>
      </c>
      <c r="O88" s="54" t="s">
        <v>45</v>
      </c>
      <c r="P88" s="54" t="s">
        <v>46</v>
      </c>
      <c r="Q88" s="54" t="s">
        <v>47</v>
      </c>
      <c r="R88" s="54" t="s">
        <v>119</v>
      </c>
    </row>
    <row r="89" spans="2:18" ht="30.75" customHeight="1" x14ac:dyDescent="0.3">
      <c r="B89" s="54" t="s">
        <v>34</v>
      </c>
      <c r="C89" s="51">
        <v>1</v>
      </c>
      <c r="D89" s="47">
        <f>1/C90</f>
        <v>0.25</v>
      </c>
      <c r="E89" s="47">
        <v>2</v>
      </c>
      <c r="F89" s="47">
        <f>1/C92</f>
        <v>0.2</v>
      </c>
      <c r="G89" s="47">
        <v>7</v>
      </c>
      <c r="H89" s="34">
        <v>3</v>
      </c>
      <c r="I89" s="34">
        <f>1/C95</f>
        <v>0.5</v>
      </c>
      <c r="J89" s="34">
        <f>1/C96</f>
        <v>0.5</v>
      </c>
      <c r="K89" s="34">
        <v>3</v>
      </c>
      <c r="L89" s="34">
        <v>2</v>
      </c>
      <c r="M89" s="34">
        <v>4</v>
      </c>
      <c r="N89" s="34">
        <v>2</v>
      </c>
      <c r="O89" s="34">
        <f>1/C101</f>
        <v>0.5</v>
      </c>
      <c r="P89" s="34">
        <v>3</v>
      </c>
      <c r="Q89" s="34">
        <v>2</v>
      </c>
      <c r="R89" s="34">
        <v>4</v>
      </c>
    </row>
    <row r="90" spans="2:18" ht="16.5" x14ac:dyDescent="0.3">
      <c r="B90" s="54" t="s">
        <v>121</v>
      </c>
      <c r="C90" s="47">
        <v>4</v>
      </c>
      <c r="D90" s="51">
        <v>1</v>
      </c>
      <c r="E90" s="47">
        <v>4</v>
      </c>
      <c r="F90" s="47">
        <f>1/D92</f>
        <v>0.33333333333333331</v>
      </c>
      <c r="G90" s="47">
        <v>8</v>
      </c>
      <c r="H90" s="34">
        <v>4</v>
      </c>
      <c r="I90" s="34">
        <v>2</v>
      </c>
      <c r="J90" s="34">
        <v>2</v>
      </c>
      <c r="K90" s="34">
        <v>3</v>
      </c>
      <c r="L90" s="34">
        <v>5</v>
      </c>
      <c r="M90" s="34">
        <v>2</v>
      </c>
      <c r="N90" s="34">
        <v>3</v>
      </c>
      <c r="O90" s="34">
        <v>2</v>
      </c>
      <c r="P90" s="34">
        <v>5</v>
      </c>
      <c r="Q90" s="34">
        <v>4</v>
      </c>
      <c r="R90" s="34">
        <v>9</v>
      </c>
    </row>
    <row r="91" spans="2:18" ht="27" x14ac:dyDescent="0.3">
      <c r="B91" s="54" t="s">
        <v>35</v>
      </c>
      <c r="C91" s="47">
        <f>1/E89</f>
        <v>0.5</v>
      </c>
      <c r="D91" s="47">
        <f>1/E90</f>
        <v>0.25</v>
      </c>
      <c r="E91" s="51">
        <v>1</v>
      </c>
      <c r="F91" s="47">
        <f>1/E92</f>
        <v>0.2</v>
      </c>
      <c r="G91" s="47">
        <v>6</v>
      </c>
      <c r="H91" s="34">
        <v>2</v>
      </c>
      <c r="I91" s="34">
        <f>1/E95</f>
        <v>0.25</v>
      </c>
      <c r="J91" s="34">
        <f>1/E96</f>
        <v>0.5</v>
      </c>
      <c r="K91" s="34">
        <v>3</v>
      </c>
      <c r="L91" s="34">
        <v>4</v>
      </c>
      <c r="M91" s="34">
        <v>4</v>
      </c>
      <c r="N91" s="34">
        <v>3</v>
      </c>
      <c r="O91" s="34">
        <f>1/E101</f>
        <v>0.5</v>
      </c>
      <c r="P91" s="34">
        <v>3</v>
      </c>
      <c r="Q91" s="34">
        <f>1/E103</f>
        <v>0.5</v>
      </c>
      <c r="R91" s="34">
        <v>4</v>
      </c>
    </row>
    <row r="92" spans="2:18" ht="39.75" x14ac:dyDescent="0.3">
      <c r="B92" s="54" t="s">
        <v>36</v>
      </c>
      <c r="C92" s="47">
        <v>5</v>
      </c>
      <c r="D92" s="47">
        <v>3</v>
      </c>
      <c r="E92" s="47">
        <v>5</v>
      </c>
      <c r="F92" s="51">
        <v>1</v>
      </c>
      <c r="G92" s="47">
        <v>9</v>
      </c>
      <c r="H92" s="34">
        <v>4</v>
      </c>
      <c r="I92" s="34">
        <v>2</v>
      </c>
      <c r="J92" s="34">
        <v>3</v>
      </c>
      <c r="K92" s="34">
        <v>5</v>
      </c>
      <c r="L92" s="34">
        <v>8</v>
      </c>
      <c r="M92" s="34">
        <v>4</v>
      </c>
      <c r="N92" s="34">
        <v>6</v>
      </c>
      <c r="O92" s="34">
        <v>3</v>
      </c>
      <c r="P92" s="34">
        <v>6</v>
      </c>
      <c r="Q92" s="34">
        <v>6</v>
      </c>
      <c r="R92" s="34">
        <v>9</v>
      </c>
    </row>
    <row r="93" spans="2:18" ht="39.75" x14ac:dyDescent="0.3">
      <c r="B93" s="54" t="s">
        <v>37</v>
      </c>
      <c r="C93" s="47">
        <f>1/G89</f>
        <v>0.14285714285714285</v>
      </c>
      <c r="D93" s="47">
        <f>1/G90</f>
        <v>0.125</v>
      </c>
      <c r="E93" s="47">
        <f>1/G91</f>
        <v>0.16666666666666666</v>
      </c>
      <c r="F93" s="47">
        <f>1/G92</f>
        <v>0.1111111111111111</v>
      </c>
      <c r="G93" s="51">
        <v>1</v>
      </c>
      <c r="H93" s="34">
        <f>1/G94</f>
        <v>0.33333333333333331</v>
      </c>
      <c r="I93" s="34">
        <f>1/G95</f>
        <v>0.125</v>
      </c>
      <c r="J93" s="34">
        <f>1/G96</f>
        <v>0.14285714285714285</v>
      </c>
      <c r="K93" s="34">
        <f>1/G97</f>
        <v>0.25</v>
      </c>
      <c r="L93" s="34">
        <f>1/G98</f>
        <v>0.25</v>
      </c>
      <c r="M93" s="34">
        <f>1/G99</f>
        <v>0.2</v>
      </c>
      <c r="N93" s="34">
        <f>1/G100</f>
        <v>0.25</v>
      </c>
      <c r="O93" s="34">
        <f>1/G101</f>
        <v>0.14285714285714285</v>
      </c>
      <c r="P93" s="34">
        <f>1/G102</f>
        <v>0.16666666666666666</v>
      </c>
      <c r="Q93" s="34">
        <f>1/G103</f>
        <v>0.16666666666666666</v>
      </c>
      <c r="R93" s="34">
        <f>1/G104</f>
        <v>0.33333333333333331</v>
      </c>
    </row>
    <row r="94" spans="2:18" ht="16.5" x14ac:dyDescent="0.3">
      <c r="B94" s="54" t="s">
        <v>38</v>
      </c>
      <c r="C94" s="47">
        <f>1/H89</f>
        <v>0.33333333333333331</v>
      </c>
      <c r="D94" s="47">
        <f>1/H90</f>
        <v>0.25</v>
      </c>
      <c r="E94" s="47">
        <f>1/H91</f>
        <v>0.5</v>
      </c>
      <c r="F94" s="47">
        <f>1/H92</f>
        <v>0.25</v>
      </c>
      <c r="G94" s="47">
        <v>3</v>
      </c>
      <c r="H94" s="50">
        <v>1</v>
      </c>
      <c r="I94" s="34">
        <f>1/H95</f>
        <v>0.125</v>
      </c>
      <c r="J94" s="34">
        <f>1/H96</f>
        <v>0.5</v>
      </c>
      <c r="K94" s="34">
        <f>1/H97</f>
        <v>0.33333333333333331</v>
      </c>
      <c r="L94" s="34">
        <f>1/H98</f>
        <v>0.5</v>
      </c>
      <c r="M94" s="34">
        <f>1/H99</f>
        <v>0.33333333333333331</v>
      </c>
      <c r="N94" s="34">
        <f>1/H100</f>
        <v>0.5</v>
      </c>
      <c r="O94" s="34">
        <f>1/H101</f>
        <v>0.25</v>
      </c>
      <c r="P94" s="34">
        <f>1/H102</f>
        <v>0.5</v>
      </c>
      <c r="Q94" s="34">
        <f>1/H103</f>
        <v>0.33333333333333331</v>
      </c>
      <c r="R94" s="34">
        <v>4</v>
      </c>
    </row>
    <row r="95" spans="2:18" ht="39.75" x14ac:dyDescent="0.3">
      <c r="B95" s="54" t="s">
        <v>39</v>
      </c>
      <c r="C95" s="47">
        <v>2</v>
      </c>
      <c r="D95" s="47">
        <f>1/I90</f>
        <v>0.5</v>
      </c>
      <c r="E95" s="47">
        <v>4</v>
      </c>
      <c r="F95" s="47">
        <f>1/I92</f>
        <v>0.5</v>
      </c>
      <c r="G95" s="47">
        <v>8</v>
      </c>
      <c r="H95" s="34">
        <v>8</v>
      </c>
      <c r="I95" s="50">
        <v>1</v>
      </c>
      <c r="J95" s="34">
        <v>3</v>
      </c>
      <c r="K95" s="34">
        <v>2</v>
      </c>
      <c r="L95" s="34">
        <v>4</v>
      </c>
      <c r="M95" s="34">
        <v>4</v>
      </c>
      <c r="N95" s="34">
        <v>3</v>
      </c>
      <c r="O95" s="34">
        <f>1/I101</f>
        <v>0.5</v>
      </c>
      <c r="P95" s="34">
        <v>2</v>
      </c>
      <c r="Q95" s="34">
        <v>2</v>
      </c>
      <c r="R95" s="34">
        <v>7</v>
      </c>
    </row>
    <row r="96" spans="2:18" ht="51" x14ac:dyDescent="0.3">
      <c r="B96" s="55" t="s">
        <v>40</v>
      </c>
      <c r="C96" s="48">
        <v>2</v>
      </c>
      <c r="D96" s="47">
        <f>1/J90</f>
        <v>0.5</v>
      </c>
      <c r="E96" s="48">
        <v>2</v>
      </c>
      <c r="F96" s="47">
        <f>1/J92</f>
        <v>0.33333333333333331</v>
      </c>
      <c r="G96" s="48">
        <v>7</v>
      </c>
      <c r="H96" s="34">
        <v>2</v>
      </c>
      <c r="I96" s="34">
        <f>1/J95</f>
        <v>0.33333333333333331</v>
      </c>
      <c r="J96" s="50">
        <v>1</v>
      </c>
      <c r="K96" s="34">
        <v>2</v>
      </c>
      <c r="L96" s="34">
        <v>4</v>
      </c>
      <c r="M96" s="34">
        <v>2</v>
      </c>
      <c r="N96" s="34">
        <v>2</v>
      </c>
      <c r="O96" s="34">
        <f>1/J101</f>
        <v>0.14285714285714285</v>
      </c>
      <c r="P96" s="34">
        <v>2</v>
      </c>
      <c r="Q96" s="34">
        <v>2</v>
      </c>
      <c r="R96" s="34">
        <v>6</v>
      </c>
    </row>
    <row r="97" spans="1:19 16384:16384" ht="16.5" x14ac:dyDescent="0.3">
      <c r="B97" s="54" t="s">
        <v>41</v>
      </c>
      <c r="C97" s="47">
        <f>1/K89</f>
        <v>0.33333333333333331</v>
      </c>
      <c r="D97" s="47">
        <f>1/K90</f>
        <v>0.33333333333333331</v>
      </c>
      <c r="E97" s="47">
        <f>1/K91</f>
        <v>0.33333333333333331</v>
      </c>
      <c r="F97" s="47">
        <f>1/K92</f>
        <v>0.2</v>
      </c>
      <c r="G97" s="47">
        <v>4</v>
      </c>
      <c r="H97" s="34">
        <v>3</v>
      </c>
      <c r="I97" s="34">
        <f>1/K95</f>
        <v>0.5</v>
      </c>
      <c r="J97" s="34">
        <f>1/K96</f>
        <v>0.5</v>
      </c>
      <c r="K97" s="50">
        <v>1</v>
      </c>
      <c r="L97" s="34">
        <v>3</v>
      </c>
      <c r="M97" s="34">
        <v>3</v>
      </c>
      <c r="N97" s="34">
        <v>4</v>
      </c>
      <c r="O97" s="34">
        <f>1/K101</f>
        <v>0.5</v>
      </c>
      <c r="P97" s="34">
        <f>1/K102</f>
        <v>0.5</v>
      </c>
      <c r="Q97" s="34">
        <f>1/K103</f>
        <v>0.5</v>
      </c>
      <c r="R97" s="34">
        <v>4</v>
      </c>
    </row>
    <row r="98" spans="1:19 16384:16384" ht="27" x14ac:dyDescent="0.3">
      <c r="B98" s="54" t="s">
        <v>42</v>
      </c>
      <c r="C98" s="47">
        <f>1/L89</f>
        <v>0.5</v>
      </c>
      <c r="D98" s="47">
        <f>1/L90</f>
        <v>0.2</v>
      </c>
      <c r="E98" s="47">
        <f>1/L91</f>
        <v>0.25</v>
      </c>
      <c r="F98" s="47">
        <f>1/L92</f>
        <v>0.125</v>
      </c>
      <c r="G98" s="47">
        <v>4</v>
      </c>
      <c r="H98" s="34">
        <v>2</v>
      </c>
      <c r="I98" s="34">
        <f>1/L95</f>
        <v>0.25</v>
      </c>
      <c r="J98" s="34">
        <f>1/L96</f>
        <v>0.25</v>
      </c>
      <c r="K98" s="34">
        <f>1/L97</f>
        <v>0.33333333333333331</v>
      </c>
      <c r="L98" s="50">
        <v>1</v>
      </c>
      <c r="M98" s="34">
        <f>1/L99</f>
        <v>0.5</v>
      </c>
      <c r="N98" s="34">
        <f>1/L100</f>
        <v>0.33333333333333331</v>
      </c>
      <c r="O98" s="34">
        <f>1/L101</f>
        <v>0.14285714285714285</v>
      </c>
      <c r="P98" s="34">
        <f>1/L102</f>
        <v>0.25</v>
      </c>
      <c r="Q98" s="34">
        <f>1/L103</f>
        <v>0.125</v>
      </c>
      <c r="R98" s="34">
        <v>2</v>
      </c>
    </row>
    <row r="99" spans="1:19 16384:16384" ht="27" x14ac:dyDescent="0.3">
      <c r="B99" s="54" t="s">
        <v>43</v>
      </c>
      <c r="C99" s="47">
        <f>1/M89</f>
        <v>0.25</v>
      </c>
      <c r="D99" s="47">
        <f>1/M90</f>
        <v>0.5</v>
      </c>
      <c r="E99" s="47">
        <f>1/M91</f>
        <v>0.25</v>
      </c>
      <c r="F99" s="47">
        <f>1/M92</f>
        <v>0.25</v>
      </c>
      <c r="G99" s="47">
        <v>5</v>
      </c>
      <c r="H99" s="34">
        <v>3</v>
      </c>
      <c r="I99" s="34">
        <f>1/M95</f>
        <v>0.25</v>
      </c>
      <c r="J99" s="34">
        <f>1/M96</f>
        <v>0.5</v>
      </c>
      <c r="K99" s="34">
        <f>1/M97</f>
        <v>0.33333333333333331</v>
      </c>
      <c r="L99" s="34">
        <v>2</v>
      </c>
      <c r="M99" s="50">
        <v>1</v>
      </c>
      <c r="N99" s="34">
        <v>3</v>
      </c>
      <c r="O99" s="34">
        <f>1/M101</f>
        <v>0.2</v>
      </c>
      <c r="P99" s="34">
        <f>1/M102</f>
        <v>0.33333333333333331</v>
      </c>
      <c r="Q99" s="34">
        <f>1/M103</f>
        <v>0.33333333333333331</v>
      </c>
      <c r="R99" s="34">
        <v>4</v>
      </c>
    </row>
    <row r="100" spans="1:19 16384:16384" ht="27" x14ac:dyDescent="0.3">
      <c r="B100" s="54" t="s">
        <v>44</v>
      </c>
      <c r="C100" s="47">
        <f>1/N89</f>
        <v>0.5</v>
      </c>
      <c r="D100" s="47">
        <f>1/N90</f>
        <v>0.33333333333333331</v>
      </c>
      <c r="E100" s="47">
        <f>1/N91</f>
        <v>0.33333333333333331</v>
      </c>
      <c r="F100" s="47">
        <f>1/N92</f>
        <v>0.16666666666666666</v>
      </c>
      <c r="G100" s="47">
        <v>4</v>
      </c>
      <c r="H100" s="34">
        <v>2</v>
      </c>
      <c r="I100" s="34">
        <f>1/N95</f>
        <v>0.33333333333333331</v>
      </c>
      <c r="J100" s="34">
        <f>1/N96</f>
        <v>0.5</v>
      </c>
      <c r="K100" s="34">
        <f>1/N97</f>
        <v>0.25</v>
      </c>
      <c r="L100" s="34">
        <v>3</v>
      </c>
      <c r="M100" s="34">
        <f>1/N99</f>
        <v>0.33333333333333331</v>
      </c>
      <c r="N100" s="50">
        <v>1</v>
      </c>
      <c r="O100" s="34">
        <f>1/N101</f>
        <v>0.16666666666666666</v>
      </c>
      <c r="P100" s="34">
        <f>1/N102</f>
        <v>0.33333333333333331</v>
      </c>
      <c r="Q100" s="34">
        <f>1/N103</f>
        <v>0.25</v>
      </c>
      <c r="R100" s="34">
        <v>2</v>
      </c>
    </row>
    <row r="101" spans="1:19 16384:16384" ht="27" x14ac:dyDescent="0.3">
      <c r="B101" s="54" t="s">
        <v>45</v>
      </c>
      <c r="C101" s="47">
        <v>2</v>
      </c>
      <c r="D101" s="47">
        <f>1/O89</f>
        <v>2</v>
      </c>
      <c r="E101" s="47">
        <v>2</v>
      </c>
      <c r="F101" s="47">
        <f>1/O92</f>
        <v>0.33333333333333331</v>
      </c>
      <c r="G101" s="47">
        <v>7</v>
      </c>
      <c r="H101" s="34">
        <v>4</v>
      </c>
      <c r="I101" s="34">
        <v>2</v>
      </c>
      <c r="J101" s="34">
        <v>7</v>
      </c>
      <c r="K101" s="34">
        <v>2</v>
      </c>
      <c r="L101" s="34">
        <v>7</v>
      </c>
      <c r="M101" s="34">
        <v>5</v>
      </c>
      <c r="N101" s="34">
        <v>6</v>
      </c>
      <c r="O101" s="50">
        <v>1</v>
      </c>
      <c r="P101" s="34">
        <v>5</v>
      </c>
      <c r="Q101" s="34">
        <v>3</v>
      </c>
      <c r="R101" s="34">
        <v>6</v>
      </c>
    </row>
    <row r="102" spans="1:19 16384:16384" ht="16.5" x14ac:dyDescent="0.3">
      <c r="B102" s="54" t="s">
        <v>46</v>
      </c>
      <c r="C102" s="47">
        <f>1/P89</f>
        <v>0.33333333333333331</v>
      </c>
      <c r="D102" s="47">
        <f>1/P90</f>
        <v>0.2</v>
      </c>
      <c r="E102" s="47">
        <f>1/P91</f>
        <v>0.33333333333333331</v>
      </c>
      <c r="F102" s="47">
        <f>1/P92</f>
        <v>0.16666666666666666</v>
      </c>
      <c r="G102" s="47">
        <v>6</v>
      </c>
      <c r="H102" s="34">
        <v>2</v>
      </c>
      <c r="I102" s="34">
        <f>1/P95</f>
        <v>0.5</v>
      </c>
      <c r="J102" s="34">
        <f>1/P96</f>
        <v>0.5</v>
      </c>
      <c r="K102" s="34">
        <v>2</v>
      </c>
      <c r="L102" s="34">
        <v>4</v>
      </c>
      <c r="M102" s="34">
        <v>3</v>
      </c>
      <c r="N102" s="34">
        <v>3</v>
      </c>
      <c r="O102" s="34">
        <f>1/P101</f>
        <v>0.2</v>
      </c>
      <c r="P102" s="50">
        <v>1</v>
      </c>
      <c r="Q102" s="34">
        <f>1/P103</f>
        <v>0.33333333333333331</v>
      </c>
      <c r="R102" s="34">
        <v>3</v>
      </c>
    </row>
    <row r="103" spans="1:19 16384:16384" ht="52.5" x14ac:dyDescent="0.3">
      <c r="B103" s="54" t="s">
        <v>47</v>
      </c>
      <c r="C103" s="47">
        <f>1/Q89</f>
        <v>0.5</v>
      </c>
      <c r="D103" s="47">
        <f>1/Q90</f>
        <v>0.25</v>
      </c>
      <c r="E103" s="47">
        <v>2</v>
      </c>
      <c r="F103" s="47">
        <f>1/Q92</f>
        <v>0.16666666666666666</v>
      </c>
      <c r="G103" s="47">
        <v>6</v>
      </c>
      <c r="H103" s="34">
        <v>3</v>
      </c>
      <c r="I103" s="34">
        <f>1/Q95</f>
        <v>0.5</v>
      </c>
      <c r="J103" s="34">
        <f>1/Q96</f>
        <v>0.5</v>
      </c>
      <c r="K103" s="34">
        <v>2</v>
      </c>
      <c r="L103" s="34">
        <v>8</v>
      </c>
      <c r="M103" s="34">
        <v>3</v>
      </c>
      <c r="N103" s="34">
        <v>4</v>
      </c>
      <c r="O103" s="34">
        <f>1/Q101</f>
        <v>0.33333333333333331</v>
      </c>
      <c r="P103" s="34">
        <v>3</v>
      </c>
      <c r="Q103" s="50">
        <v>1</v>
      </c>
      <c r="R103" s="34">
        <v>5</v>
      </c>
    </row>
    <row r="104" spans="1:19 16384:16384" ht="27" x14ac:dyDescent="0.3">
      <c r="B104" s="54" t="s">
        <v>119</v>
      </c>
      <c r="C104" s="47">
        <f>1/R89</f>
        <v>0.25</v>
      </c>
      <c r="D104" s="47">
        <f>1/R90</f>
        <v>0.1111111111111111</v>
      </c>
      <c r="E104" s="47">
        <f>1/R91</f>
        <v>0.25</v>
      </c>
      <c r="F104" s="47">
        <f>1/R92</f>
        <v>0.1111111111111111</v>
      </c>
      <c r="G104" s="47">
        <v>3</v>
      </c>
      <c r="H104" s="34">
        <f>1/R94</f>
        <v>0.25</v>
      </c>
      <c r="I104" s="34">
        <f>1/R95</f>
        <v>0.14285714285714285</v>
      </c>
      <c r="J104" s="34">
        <f>1/R96</f>
        <v>0.16666666666666666</v>
      </c>
      <c r="K104" s="34">
        <f>1/R97</f>
        <v>0.25</v>
      </c>
      <c r="L104" s="34">
        <f>1/R98</f>
        <v>0.5</v>
      </c>
      <c r="M104" s="34">
        <f>1/R99</f>
        <v>0.25</v>
      </c>
      <c r="N104" s="34">
        <f>1/R100</f>
        <v>0.5</v>
      </c>
      <c r="O104" s="34">
        <f>1/R101</f>
        <v>0.16666666666666666</v>
      </c>
      <c r="P104" s="34">
        <f>1/R102</f>
        <v>0.33333333333333331</v>
      </c>
      <c r="Q104" s="34">
        <f>1/R103</f>
        <v>0.2</v>
      </c>
      <c r="R104" s="50">
        <v>1</v>
      </c>
    </row>
    <row r="105" spans="1:19 16384:16384" x14ac:dyDescent="0.25">
      <c r="C105" s="46">
        <f t="shared" ref="C105:R105" si="2">SUM(C89:C104)</f>
        <v>19.642857142857142</v>
      </c>
      <c r="D105" s="46">
        <f t="shared" si="2"/>
        <v>9.8027777777777771</v>
      </c>
      <c r="E105" s="46">
        <f t="shared" si="2"/>
        <v>24.416666666666661</v>
      </c>
      <c r="F105" s="46">
        <f t="shared" si="2"/>
        <v>4.4472222222222229</v>
      </c>
      <c r="G105" s="46">
        <f t="shared" si="2"/>
        <v>88</v>
      </c>
      <c r="H105" s="46">
        <f t="shared" si="2"/>
        <v>43.583333333333336</v>
      </c>
      <c r="I105" s="46">
        <f t="shared" si="2"/>
        <v>10.809523809523808</v>
      </c>
      <c r="J105" s="46">
        <f t="shared" si="2"/>
        <v>20.55952380952381</v>
      </c>
      <c r="K105" s="46">
        <f t="shared" si="2"/>
        <v>26.75</v>
      </c>
      <c r="L105" s="46">
        <f t="shared" si="2"/>
        <v>56.25</v>
      </c>
      <c r="M105" s="46">
        <f t="shared" si="2"/>
        <v>36.61666666666666</v>
      </c>
      <c r="N105" s="46">
        <f t="shared" si="2"/>
        <v>41.583333333333329</v>
      </c>
      <c r="O105" s="46">
        <f t="shared" si="2"/>
        <v>9.7452380952380953</v>
      </c>
      <c r="P105" s="46">
        <f t="shared" si="2"/>
        <v>32.416666666666664</v>
      </c>
      <c r="Q105" s="46">
        <f t="shared" si="2"/>
        <v>22.741666666666664</v>
      </c>
      <c r="R105" s="46">
        <f t="shared" si="2"/>
        <v>70.333333333333329</v>
      </c>
    </row>
    <row r="106" spans="1:19 16384:16384" x14ac:dyDescent="0.25"/>
    <row r="107" spans="1:19 16384:16384" x14ac:dyDescent="0.25"/>
    <row r="108" spans="1:19 16384:16384" ht="26.25" customHeight="1" x14ac:dyDescent="0.25"/>
    <row r="109" spans="1:19 16384:16384" ht="49.5" customHeight="1" x14ac:dyDescent="0.25">
      <c r="C109" s="221" t="s">
        <v>97</v>
      </c>
      <c r="D109" s="221"/>
      <c r="E109" s="221"/>
      <c r="F109" s="221"/>
      <c r="G109" s="221"/>
      <c r="H109" s="221"/>
      <c r="I109" s="221"/>
      <c r="J109" s="221"/>
      <c r="K109" s="221"/>
      <c r="L109" s="221"/>
      <c r="M109" s="221"/>
      <c r="N109" s="221"/>
      <c r="O109" s="221"/>
      <c r="P109" s="221"/>
      <c r="Q109" s="221"/>
      <c r="R109" s="221"/>
      <c r="S109" s="53" t="s">
        <v>99</v>
      </c>
    </row>
    <row r="110" spans="1:19 16384:16384" s="129" customFormat="1" ht="30" customHeight="1" x14ac:dyDescent="0.25">
      <c r="A110" s="24"/>
      <c r="B110" s="44" t="s">
        <v>34</v>
      </c>
      <c r="C110" s="58">
        <f t="shared" ref="C110:R110" si="3">C89/C$105</f>
        <v>5.0909090909090911E-2</v>
      </c>
      <c r="D110" s="58">
        <f t="shared" si="3"/>
        <v>2.5502975347123834E-2</v>
      </c>
      <c r="E110" s="58">
        <f t="shared" si="3"/>
        <v>8.1911262798634837E-2</v>
      </c>
      <c r="F110" s="58">
        <f t="shared" si="3"/>
        <v>4.4971892567145531E-2</v>
      </c>
      <c r="G110" s="58">
        <f t="shared" si="3"/>
        <v>7.9545454545454544E-2</v>
      </c>
      <c r="H110" s="58">
        <f t="shared" si="3"/>
        <v>6.8833652007648183E-2</v>
      </c>
      <c r="I110" s="58">
        <f t="shared" si="3"/>
        <v>4.6255506607929521E-2</v>
      </c>
      <c r="J110" s="58">
        <f t="shared" si="3"/>
        <v>2.4319629415170817E-2</v>
      </c>
      <c r="K110" s="58">
        <f t="shared" si="3"/>
        <v>0.11214953271028037</v>
      </c>
      <c r="L110" s="58">
        <f t="shared" si="3"/>
        <v>3.5555555555555556E-2</v>
      </c>
      <c r="M110" s="58">
        <f t="shared" si="3"/>
        <v>0.10923987255348204</v>
      </c>
      <c r="N110" s="58">
        <f t="shared" si="3"/>
        <v>4.8096192384769546E-2</v>
      </c>
      <c r="O110" s="58">
        <f t="shared" si="3"/>
        <v>5.130710969948693E-2</v>
      </c>
      <c r="P110" s="58">
        <f t="shared" si="3"/>
        <v>9.2544987146529575E-2</v>
      </c>
      <c r="Q110" s="58">
        <f t="shared" si="3"/>
        <v>8.7944301942103342E-2</v>
      </c>
      <c r="R110" s="58">
        <f t="shared" si="3"/>
        <v>5.6872037914691947E-2</v>
      </c>
      <c r="S110" s="144">
        <f>AVERAGE(C110:R110)</f>
        <v>6.3497440881568598E-2</v>
      </c>
      <c r="XFD110" s="144">
        <f t="shared" ref="XFD110:XFD125" si="4">S110*$K$45</f>
        <v>1.0639737470328533E-2</v>
      </c>
    </row>
    <row r="111" spans="1:19 16384:16384" s="129" customFormat="1" ht="28.5" customHeight="1" x14ac:dyDescent="0.25">
      <c r="A111" s="24"/>
      <c r="B111" s="44" t="s">
        <v>121</v>
      </c>
      <c r="C111" s="58">
        <f t="shared" ref="C111:R111" si="5">C90/C$105</f>
        <v>0.20363636363636364</v>
      </c>
      <c r="D111" s="58">
        <f t="shared" si="5"/>
        <v>0.10201190138849534</v>
      </c>
      <c r="E111" s="58">
        <f t="shared" si="5"/>
        <v>0.16382252559726967</v>
      </c>
      <c r="F111" s="58">
        <f t="shared" si="5"/>
        <v>7.4953154278575879E-2</v>
      </c>
      <c r="G111" s="58">
        <f t="shared" si="5"/>
        <v>9.0909090909090912E-2</v>
      </c>
      <c r="H111" s="58">
        <f t="shared" si="5"/>
        <v>9.1778202676864234E-2</v>
      </c>
      <c r="I111" s="58">
        <f t="shared" si="5"/>
        <v>0.18502202643171808</v>
      </c>
      <c r="J111" s="58">
        <f t="shared" si="5"/>
        <v>9.7278517660683267E-2</v>
      </c>
      <c r="K111" s="58">
        <f t="shared" si="5"/>
        <v>0.11214953271028037</v>
      </c>
      <c r="L111" s="58">
        <f t="shared" si="5"/>
        <v>8.8888888888888892E-2</v>
      </c>
      <c r="M111" s="58">
        <f t="shared" si="5"/>
        <v>5.461993627674102E-2</v>
      </c>
      <c r="N111" s="58">
        <f t="shared" si="5"/>
        <v>7.2144288577154311E-2</v>
      </c>
      <c r="O111" s="58">
        <f t="shared" si="5"/>
        <v>0.20522843879794772</v>
      </c>
      <c r="P111" s="58">
        <f t="shared" si="5"/>
        <v>0.15424164524421594</v>
      </c>
      <c r="Q111" s="58">
        <f t="shared" si="5"/>
        <v>0.17588860388420668</v>
      </c>
      <c r="R111" s="58">
        <f t="shared" si="5"/>
        <v>0.12796208530805689</v>
      </c>
      <c r="S111" s="144">
        <f>AVERAGE(C111:R111)</f>
        <v>0.12503345014165954</v>
      </c>
      <c r="XFD111" s="144">
        <f t="shared" si="4"/>
        <v>2.0950814175297292E-2</v>
      </c>
    </row>
    <row r="112" spans="1:19 16384:16384" s="129" customFormat="1" ht="26.25" x14ac:dyDescent="0.25">
      <c r="A112" s="24"/>
      <c r="B112" s="44" t="s">
        <v>35</v>
      </c>
      <c r="C112" s="58">
        <f t="shared" ref="C112:R112" si="6">C91/C$105</f>
        <v>2.5454545454545455E-2</v>
      </c>
      <c r="D112" s="58">
        <f t="shared" si="6"/>
        <v>2.5502975347123834E-2</v>
      </c>
      <c r="E112" s="58">
        <f t="shared" si="6"/>
        <v>4.0955631399317419E-2</v>
      </c>
      <c r="F112" s="58">
        <f t="shared" si="6"/>
        <v>4.4971892567145531E-2</v>
      </c>
      <c r="G112" s="58">
        <f t="shared" si="6"/>
        <v>6.8181818181818177E-2</v>
      </c>
      <c r="H112" s="58">
        <f t="shared" si="6"/>
        <v>4.5889101338432117E-2</v>
      </c>
      <c r="I112" s="58">
        <f t="shared" si="6"/>
        <v>2.3127753303964761E-2</v>
      </c>
      <c r="J112" s="58">
        <f t="shared" si="6"/>
        <v>2.4319629415170817E-2</v>
      </c>
      <c r="K112" s="58">
        <f t="shared" si="6"/>
        <v>0.11214953271028037</v>
      </c>
      <c r="L112" s="58">
        <f t="shared" si="6"/>
        <v>7.1111111111111111E-2</v>
      </c>
      <c r="M112" s="58">
        <f t="shared" si="6"/>
        <v>0.10923987255348204</v>
      </c>
      <c r="N112" s="58">
        <f t="shared" si="6"/>
        <v>7.2144288577154311E-2</v>
      </c>
      <c r="O112" s="58">
        <f t="shared" si="6"/>
        <v>5.130710969948693E-2</v>
      </c>
      <c r="P112" s="58">
        <f t="shared" si="6"/>
        <v>9.2544987146529575E-2</v>
      </c>
      <c r="Q112" s="58">
        <f t="shared" si="6"/>
        <v>2.1986075485525836E-2</v>
      </c>
      <c r="R112" s="58">
        <f t="shared" si="6"/>
        <v>5.6872037914691947E-2</v>
      </c>
      <c r="S112" s="144">
        <f>AVERAGE(C112:R112)</f>
        <v>5.5359897637861262E-2</v>
      </c>
      <c r="XFD112" s="144">
        <f t="shared" si="4"/>
        <v>9.2761971045368184E-3</v>
      </c>
    </row>
    <row r="113" spans="1:19 16384:16384" s="129" customFormat="1" ht="39" x14ac:dyDescent="0.25">
      <c r="A113" s="24"/>
      <c r="B113" s="44" t="s">
        <v>36</v>
      </c>
      <c r="C113" s="58">
        <f t="shared" ref="C113:R113" si="7">C92/C$105</f>
        <v>0.25454545454545457</v>
      </c>
      <c r="D113" s="58">
        <f t="shared" si="7"/>
        <v>0.30603570416548598</v>
      </c>
      <c r="E113" s="58">
        <f t="shared" si="7"/>
        <v>0.20477815699658708</v>
      </c>
      <c r="F113" s="58">
        <f t="shared" si="7"/>
        <v>0.22485946283572764</v>
      </c>
      <c r="G113" s="58">
        <f t="shared" si="7"/>
        <v>0.10227272727272728</v>
      </c>
      <c r="H113" s="58">
        <f t="shared" si="7"/>
        <v>9.1778202676864234E-2</v>
      </c>
      <c r="I113" s="58">
        <f t="shared" si="7"/>
        <v>0.18502202643171808</v>
      </c>
      <c r="J113" s="58">
        <f t="shared" si="7"/>
        <v>0.14591777649102489</v>
      </c>
      <c r="K113" s="58">
        <f t="shared" si="7"/>
        <v>0.18691588785046728</v>
      </c>
      <c r="L113" s="58">
        <f t="shared" si="7"/>
        <v>0.14222222222222222</v>
      </c>
      <c r="M113" s="58">
        <f t="shared" si="7"/>
        <v>0.10923987255348204</v>
      </c>
      <c r="N113" s="58">
        <f t="shared" si="7"/>
        <v>0.14428857715430862</v>
      </c>
      <c r="O113" s="58">
        <f t="shared" si="7"/>
        <v>0.30784265819692158</v>
      </c>
      <c r="P113" s="58">
        <f t="shared" si="7"/>
        <v>0.18508997429305915</v>
      </c>
      <c r="Q113" s="58">
        <f t="shared" si="7"/>
        <v>0.26383290582631003</v>
      </c>
      <c r="R113" s="58">
        <f t="shared" si="7"/>
        <v>0.12796208530805689</v>
      </c>
      <c r="S113" s="144">
        <f>AVERAGE(C113:R113)</f>
        <v>0.18641273092627608</v>
      </c>
      <c r="XFD113" s="144">
        <f t="shared" si="4"/>
        <v>3.1235629194597769E-2</v>
      </c>
    </row>
    <row r="114" spans="1:19 16384:16384" s="129" customFormat="1" ht="39" x14ac:dyDescent="0.25">
      <c r="A114" s="24"/>
      <c r="B114" s="44" t="s">
        <v>37</v>
      </c>
      <c r="C114" s="58">
        <f t="shared" ref="C114:R114" si="8">C93/C$105</f>
        <v>7.2727272727272727E-3</v>
      </c>
      <c r="D114" s="58">
        <f t="shared" si="8"/>
        <v>1.2751487673561917E-2</v>
      </c>
      <c r="E114" s="58">
        <f t="shared" si="8"/>
        <v>6.825938566552902E-3</v>
      </c>
      <c r="F114" s="58">
        <f t="shared" si="8"/>
        <v>2.4984384759525292E-2</v>
      </c>
      <c r="G114" s="58">
        <f t="shared" si="8"/>
        <v>1.1363636363636364E-2</v>
      </c>
      <c r="H114" s="58">
        <f t="shared" si="8"/>
        <v>7.6481835564053526E-3</v>
      </c>
      <c r="I114" s="58">
        <f t="shared" si="8"/>
        <v>1.156387665198238E-2</v>
      </c>
      <c r="J114" s="58">
        <f t="shared" si="8"/>
        <v>6.9484655471916609E-3</v>
      </c>
      <c r="K114" s="58">
        <f t="shared" si="8"/>
        <v>9.3457943925233638E-3</v>
      </c>
      <c r="L114" s="58">
        <f t="shared" si="8"/>
        <v>4.4444444444444444E-3</v>
      </c>
      <c r="M114" s="58">
        <f t="shared" si="8"/>
        <v>5.461993627674102E-3</v>
      </c>
      <c r="N114" s="58">
        <f t="shared" si="8"/>
        <v>6.0120240480961932E-3</v>
      </c>
      <c r="O114" s="58">
        <f t="shared" si="8"/>
        <v>1.4659174199853407E-2</v>
      </c>
      <c r="P114" s="58">
        <f t="shared" si="8"/>
        <v>5.1413881748071984E-3</v>
      </c>
      <c r="Q114" s="58">
        <f t="shared" si="8"/>
        <v>7.3286918285086116E-3</v>
      </c>
      <c r="R114" s="58">
        <f t="shared" si="8"/>
        <v>4.7393364928909956E-3</v>
      </c>
      <c r="S114" s="144">
        <f>AVERAGE(C114:R114)</f>
        <v>9.1557217250238417E-3</v>
      </c>
      <c r="XFD114" s="144">
        <f t="shared" si="4"/>
        <v>1.5341480562551877E-3</v>
      </c>
    </row>
    <row r="115" spans="1:19 16384:16384" s="129" customFormat="1" x14ac:dyDescent="0.25">
      <c r="A115" s="24"/>
      <c r="B115" s="44" t="s">
        <v>38</v>
      </c>
      <c r="C115" s="58">
        <f t="shared" ref="C115:R115" si="9">C94/C$105</f>
        <v>1.6969696969696968E-2</v>
      </c>
      <c r="D115" s="58">
        <f t="shared" si="9"/>
        <v>2.5502975347123834E-2</v>
      </c>
      <c r="E115" s="58">
        <f t="shared" si="9"/>
        <v>2.0477815699658709E-2</v>
      </c>
      <c r="F115" s="58">
        <f t="shared" si="9"/>
        <v>5.6214865708931909E-2</v>
      </c>
      <c r="G115" s="58">
        <f t="shared" si="9"/>
        <v>3.4090909090909088E-2</v>
      </c>
      <c r="H115" s="58">
        <f t="shared" si="9"/>
        <v>2.2944550669216059E-2</v>
      </c>
      <c r="I115" s="58">
        <f t="shared" si="9"/>
        <v>1.156387665198238E-2</v>
      </c>
      <c r="J115" s="58">
        <f t="shared" si="9"/>
        <v>2.4319629415170817E-2</v>
      </c>
      <c r="K115" s="58">
        <f t="shared" si="9"/>
        <v>1.2461059190031152E-2</v>
      </c>
      <c r="L115" s="58">
        <f t="shared" si="9"/>
        <v>8.8888888888888889E-3</v>
      </c>
      <c r="M115" s="58">
        <f t="shared" si="9"/>
        <v>9.1033227127901694E-3</v>
      </c>
      <c r="N115" s="58">
        <f t="shared" si="9"/>
        <v>1.2024048096192386E-2</v>
      </c>
      <c r="O115" s="58">
        <f t="shared" si="9"/>
        <v>2.5653554849743465E-2</v>
      </c>
      <c r="P115" s="58">
        <f t="shared" si="9"/>
        <v>1.5424164524421595E-2</v>
      </c>
      <c r="Q115" s="58">
        <f t="shared" si="9"/>
        <v>1.4657383657017223E-2</v>
      </c>
      <c r="R115" s="58">
        <f t="shared" si="9"/>
        <v>5.6872037914691947E-2</v>
      </c>
      <c r="S115" s="144">
        <f>AVERAGE(C115:R115)</f>
        <v>2.2948048711654165E-2</v>
      </c>
      <c r="XFD115" s="144">
        <f t="shared" si="4"/>
        <v>3.8452134504712598E-3</v>
      </c>
    </row>
    <row r="116" spans="1:19 16384:16384" s="129" customFormat="1" ht="39" x14ac:dyDescent="0.25">
      <c r="A116" s="24"/>
      <c r="B116" s="44" t="s">
        <v>39</v>
      </c>
      <c r="C116" s="58">
        <f t="shared" ref="C116:R116" si="10">C95/C$105</f>
        <v>0.10181818181818182</v>
      </c>
      <c r="D116" s="58">
        <f t="shared" si="10"/>
        <v>5.1005950694247668E-2</v>
      </c>
      <c r="E116" s="58">
        <f t="shared" si="10"/>
        <v>0.16382252559726967</v>
      </c>
      <c r="F116" s="58">
        <f t="shared" si="10"/>
        <v>0.11242973141786382</v>
      </c>
      <c r="G116" s="58">
        <f t="shared" si="10"/>
        <v>9.0909090909090912E-2</v>
      </c>
      <c r="H116" s="58">
        <f t="shared" si="10"/>
        <v>0.18355640535372847</v>
      </c>
      <c r="I116" s="58">
        <f t="shared" si="10"/>
        <v>9.2511013215859042E-2</v>
      </c>
      <c r="J116" s="58">
        <f t="shared" si="10"/>
        <v>0.14591777649102489</v>
      </c>
      <c r="K116" s="58">
        <f t="shared" si="10"/>
        <v>7.476635514018691E-2</v>
      </c>
      <c r="L116" s="58">
        <f t="shared" si="10"/>
        <v>7.1111111111111111E-2</v>
      </c>
      <c r="M116" s="58">
        <f t="shared" si="10"/>
        <v>0.10923987255348204</v>
      </c>
      <c r="N116" s="58">
        <f t="shared" si="10"/>
        <v>7.2144288577154311E-2</v>
      </c>
      <c r="O116" s="58">
        <f t="shared" si="10"/>
        <v>5.130710969948693E-2</v>
      </c>
      <c r="P116" s="58">
        <f t="shared" si="10"/>
        <v>6.1696658097686381E-2</v>
      </c>
      <c r="Q116" s="58">
        <f t="shared" si="10"/>
        <v>8.7944301942103342E-2</v>
      </c>
      <c r="R116" s="58">
        <f t="shared" si="10"/>
        <v>9.9526066350710901E-2</v>
      </c>
      <c r="S116" s="144">
        <f>AVERAGE(C116:R116)</f>
        <v>9.8106652435574274E-2</v>
      </c>
      <c r="XFD116" s="144">
        <f t="shared" si="4"/>
        <v>1.643891488405275E-2</v>
      </c>
    </row>
    <row r="117" spans="1:19 16384:16384" s="129" customFormat="1" ht="51" x14ac:dyDescent="0.25">
      <c r="A117" s="24"/>
      <c r="B117" s="45" t="s">
        <v>40</v>
      </c>
      <c r="C117" s="58">
        <f t="shared" ref="C117:R117" si="11">C96/C$105</f>
        <v>0.10181818181818182</v>
      </c>
      <c r="D117" s="58">
        <f t="shared" si="11"/>
        <v>5.1005950694247668E-2</v>
      </c>
      <c r="E117" s="58">
        <f t="shared" si="11"/>
        <v>8.1911262798634837E-2</v>
      </c>
      <c r="F117" s="58">
        <f t="shared" si="11"/>
        <v>7.4953154278575879E-2</v>
      </c>
      <c r="G117" s="58">
        <f t="shared" si="11"/>
        <v>7.9545454545454544E-2</v>
      </c>
      <c r="H117" s="58">
        <f t="shared" si="11"/>
        <v>4.5889101338432117E-2</v>
      </c>
      <c r="I117" s="58">
        <f t="shared" si="11"/>
        <v>3.0837004405286344E-2</v>
      </c>
      <c r="J117" s="58">
        <f t="shared" si="11"/>
        <v>4.8639258830341633E-2</v>
      </c>
      <c r="K117" s="58">
        <f t="shared" si="11"/>
        <v>7.476635514018691E-2</v>
      </c>
      <c r="L117" s="58">
        <f t="shared" si="11"/>
        <v>7.1111111111111111E-2</v>
      </c>
      <c r="M117" s="58">
        <f t="shared" si="11"/>
        <v>5.461993627674102E-2</v>
      </c>
      <c r="N117" s="58">
        <f t="shared" si="11"/>
        <v>4.8096192384769546E-2</v>
      </c>
      <c r="O117" s="58">
        <f t="shared" si="11"/>
        <v>1.4659174199853407E-2</v>
      </c>
      <c r="P117" s="58">
        <f t="shared" si="11"/>
        <v>6.1696658097686381E-2</v>
      </c>
      <c r="Q117" s="58">
        <f t="shared" si="11"/>
        <v>8.7944301942103342E-2</v>
      </c>
      <c r="R117" s="58">
        <f t="shared" si="11"/>
        <v>8.5308056872037921E-2</v>
      </c>
      <c r="S117" s="144">
        <f>AVERAGE(C117:R117)</f>
        <v>6.3300072170852789E-2</v>
      </c>
      <c r="XFD117" s="144">
        <f t="shared" si="4"/>
        <v>1.0606666038823282E-2</v>
      </c>
    </row>
    <row r="118" spans="1:19 16384:16384" s="129" customFormat="1" x14ac:dyDescent="0.25">
      <c r="A118" s="24"/>
      <c r="B118" s="44" t="s">
        <v>41</v>
      </c>
      <c r="C118" s="58">
        <f t="shared" ref="C118:R118" si="12">C97/C$105</f>
        <v>1.6969696969696968E-2</v>
      </c>
      <c r="D118" s="58">
        <f t="shared" si="12"/>
        <v>3.4003967129498443E-2</v>
      </c>
      <c r="E118" s="58">
        <f t="shared" si="12"/>
        <v>1.3651877133105804E-2</v>
      </c>
      <c r="F118" s="58">
        <f t="shared" si="12"/>
        <v>4.4971892567145531E-2</v>
      </c>
      <c r="G118" s="58">
        <f t="shared" si="12"/>
        <v>4.5454545454545456E-2</v>
      </c>
      <c r="H118" s="58">
        <f t="shared" si="12"/>
        <v>6.8833652007648183E-2</v>
      </c>
      <c r="I118" s="58">
        <f t="shared" si="12"/>
        <v>4.6255506607929521E-2</v>
      </c>
      <c r="J118" s="58">
        <f t="shared" si="12"/>
        <v>2.4319629415170817E-2</v>
      </c>
      <c r="K118" s="58">
        <f t="shared" si="12"/>
        <v>3.7383177570093455E-2</v>
      </c>
      <c r="L118" s="58">
        <f t="shared" si="12"/>
        <v>5.3333333333333337E-2</v>
      </c>
      <c r="M118" s="58">
        <f t="shared" si="12"/>
        <v>8.1929904415111526E-2</v>
      </c>
      <c r="N118" s="58">
        <f t="shared" si="12"/>
        <v>9.6192384769539091E-2</v>
      </c>
      <c r="O118" s="58">
        <f t="shared" si="12"/>
        <v>5.130710969948693E-2</v>
      </c>
      <c r="P118" s="58">
        <f t="shared" si="12"/>
        <v>1.5424164524421595E-2</v>
      </c>
      <c r="Q118" s="58">
        <f t="shared" si="12"/>
        <v>2.1986075485525836E-2</v>
      </c>
      <c r="R118" s="58">
        <f t="shared" si="12"/>
        <v>5.6872037914691947E-2</v>
      </c>
      <c r="S118" s="144">
        <f>AVERAGE(C118:R118)</f>
        <v>4.430555968730903E-2</v>
      </c>
      <c r="XFD118" s="144">
        <f t="shared" si="4"/>
        <v>7.4239137358017892E-3</v>
      </c>
    </row>
    <row r="119" spans="1:19 16384:16384" s="129" customFormat="1" ht="26.25" x14ac:dyDescent="0.25">
      <c r="A119" s="24"/>
      <c r="B119" s="44" t="s">
        <v>42</v>
      </c>
      <c r="C119" s="58">
        <f t="shared" ref="C119:R119" si="13">C98/C$105</f>
        <v>2.5454545454545455E-2</v>
      </c>
      <c r="D119" s="58">
        <f t="shared" si="13"/>
        <v>2.0402380277699066E-2</v>
      </c>
      <c r="E119" s="58">
        <f t="shared" si="13"/>
        <v>1.0238907849829355E-2</v>
      </c>
      <c r="F119" s="58">
        <f t="shared" si="13"/>
        <v>2.8107432854465954E-2</v>
      </c>
      <c r="G119" s="58">
        <f t="shared" si="13"/>
        <v>4.5454545454545456E-2</v>
      </c>
      <c r="H119" s="58">
        <f t="shared" si="13"/>
        <v>4.5889101338432117E-2</v>
      </c>
      <c r="I119" s="58">
        <f t="shared" si="13"/>
        <v>2.3127753303964761E-2</v>
      </c>
      <c r="J119" s="58">
        <f t="shared" si="13"/>
        <v>1.2159814707585408E-2</v>
      </c>
      <c r="K119" s="58">
        <f t="shared" si="13"/>
        <v>1.2461059190031152E-2</v>
      </c>
      <c r="L119" s="58">
        <f t="shared" si="13"/>
        <v>1.7777777777777778E-2</v>
      </c>
      <c r="M119" s="58">
        <f t="shared" si="13"/>
        <v>1.3654984069185255E-2</v>
      </c>
      <c r="N119" s="58">
        <f t="shared" si="13"/>
        <v>8.0160320641282576E-3</v>
      </c>
      <c r="O119" s="58">
        <f t="shared" si="13"/>
        <v>1.4659174199853407E-2</v>
      </c>
      <c r="P119" s="58">
        <f t="shared" si="13"/>
        <v>7.7120822622107977E-3</v>
      </c>
      <c r="Q119" s="58">
        <f t="shared" si="13"/>
        <v>5.4965188713814589E-3</v>
      </c>
      <c r="R119" s="58">
        <f t="shared" si="13"/>
        <v>2.8436018957345974E-2</v>
      </c>
      <c r="S119" s="144">
        <f>AVERAGE(C119:R119)</f>
        <v>1.9940508039561357E-2</v>
      </c>
      <c r="XFD119" s="144">
        <f t="shared" si="4"/>
        <v>3.3412649017087004E-3</v>
      </c>
    </row>
    <row r="120" spans="1:19 16384:16384" s="129" customFormat="1" ht="26.25" x14ac:dyDescent="0.25">
      <c r="A120" s="24"/>
      <c r="B120" s="44" t="s">
        <v>43</v>
      </c>
      <c r="C120" s="58">
        <f t="shared" ref="C120:R120" si="14">C99/C$105</f>
        <v>1.2727272727272728E-2</v>
      </c>
      <c r="D120" s="58">
        <f t="shared" si="14"/>
        <v>5.1005950694247668E-2</v>
      </c>
      <c r="E120" s="58">
        <f t="shared" si="14"/>
        <v>1.0238907849829355E-2</v>
      </c>
      <c r="F120" s="58">
        <f t="shared" si="14"/>
        <v>5.6214865708931909E-2</v>
      </c>
      <c r="G120" s="58">
        <f t="shared" si="14"/>
        <v>5.6818181818181816E-2</v>
      </c>
      <c r="H120" s="58">
        <f t="shared" si="14"/>
        <v>6.8833652007648183E-2</v>
      </c>
      <c r="I120" s="58">
        <f t="shared" si="14"/>
        <v>2.3127753303964761E-2</v>
      </c>
      <c r="J120" s="58">
        <f t="shared" si="14"/>
        <v>2.4319629415170817E-2</v>
      </c>
      <c r="K120" s="58">
        <f t="shared" si="14"/>
        <v>1.2461059190031152E-2</v>
      </c>
      <c r="L120" s="58">
        <f t="shared" si="14"/>
        <v>3.5555555555555556E-2</v>
      </c>
      <c r="M120" s="58">
        <f t="shared" si="14"/>
        <v>2.730996813837051E-2</v>
      </c>
      <c r="N120" s="58">
        <f t="shared" si="14"/>
        <v>7.2144288577154311E-2</v>
      </c>
      <c r="O120" s="58">
        <f t="shared" si="14"/>
        <v>2.0522843879794774E-2</v>
      </c>
      <c r="P120" s="58">
        <f t="shared" si="14"/>
        <v>1.0282776349614397E-2</v>
      </c>
      <c r="Q120" s="58">
        <f t="shared" si="14"/>
        <v>1.4657383657017223E-2</v>
      </c>
      <c r="R120" s="58">
        <f t="shared" si="14"/>
        <v>5.6872037914691947E-2</v>
      </c>
      <c r="S120" s="144">
        <f>AVERAGE(C120:R120)</f>
        <v>3.4568257924217319E-2</v>
      </c>
      <c r="XFD120" s="144">
        <f t="shared" si="4"/>
        <v>5.7923151549724378E-3</v>
      </c>
    </row>
    <row r="121" spans="1:19 16384:16384" s="129" customFormat="1" ht="26.25" x14ac:dyDescent="0.25">
      <c r="A121" s="24"/>
      <c r="B121" s="44" t="s">
        <v>44</v>
      </c>
      <c r="C121" s="58">
        <f t="shared" ref="C121:R121" si="15">C100/C$105</f>
        <v>2.5454545454545455E-2</v>
      </c>
      <c r="D121" s="58">
        <f t="shared" si="15"/>
        <v>3.4003967129498443E-2</v>
      </c>
      <c r="E121" s="58">
        <f t="shared" si="15"/>
        <v>1.3651877133105804E-2</v>
      </c>
      <c r="F121" s="58">
        <f t="shared" si="15"/>
        <v>3.7476577139287939E-2</v>
      </c>
      <c r="G121" s="58">
        <f t="shared" si="15"/>
        <v>4.5454545454545456E-2</v>
      </c>
      <c r="H121" s="58">
        <f t="shared" si="15"/>
        <v>4.5889101338432117E-2</v>
      </c>
      <c r="I121" s="58">
        <f t="shared" si="15"/>
        <v>3.0837004405286344E-2</v>
      </c>
      <c r="J121" s="58">
        <f t="shared" si="15"/>
        <v>2.4319629415170817E-2</v>
      </c>
      <c r="K121" s="58">
        <f t="shared" si="15"/>
        <v>9.3457943925233638E-3</v>
      </c>
      <c r="L121" s="58">
        <f t="shared" si="15"/>
        <v>5.3333333333333337E-2</v>
      </c>
      <c r="M121" s="58">
        <f t="shared" si="15"/>
        <v>9.1033227127901694E-3</v>
      </c>
      <c r="N121" s="58">
        <f t="shared" si="15"/>
        <v>2.4048096192384773E-2</v>
      </c>
      <c r="O121" s="58">
        <f t="shared" si="15"/>
        <v>1.7102369899828974E-2</v>
      </c>
      <c r="P121" s="58">
        <f t="shared" si="15"/>
        <v>1.0282776349614397E-2</v>
      </c>
      <c r="Q121" s="58">
        <f t="shared" si="15"/>
        <v>1.0993037742762918E-2</v>
      </c>
      <c r="R121" s="58">
        <f t="shared" si="15"/>
        <v>2.8436018957345974E-2</v>
      </c>
      <c r="S121" s="144">
        <f>AVERAGE(C121:R121)</f>
        <v>2.6233249815653521E-2</v>
      </c>
      <c r="XFD121" s="144">
        <f t="shared" si="4"/>
        <v>4.3956872459267327E-3</v>
      </c>
    </row>
    <row r="122" spans="1:19 16384:16384" s="129" customFormat="1" ht="26.25" x14ac:dyDescent="0.25">
      <c r="A122" s="24"/>
      <c r="B122" s="44" t="s">
        <v>45</v>
      </c>
      <c r="C122" s="58">
        <f t="shared" ref="C122:R122" si="16">C101/C$105</f>
        <v>0.10181818181818182</v>
      </c>
      <c r="D122" s="58">
        <f t="shared" si="16"/>
        <v>0.20402380277699067</v>
      </c>
      <c r="E122" s="58">
        <f t="shared" si="16"/>
        <v>8.1911262798634837E-2</v>
      </c>
      <c r="F122" s="58">
        <f t="shared" si="16"/>
        <v>7.4953154278575879E-2</v>
      </c>
      <c r="G122" s="58">
        <f t="shared" si="16"/>
        <v>7.9545454545454544E-2</v>
      </c>
      <c r="H122" s="58">
        <f t="shared" si="16"/>
        <v>9.1778202676864234E-2</v>
      </c>
      <c r="I122" s="58">
        <f t="shared" si="16"/>
        <v>0.18502202643171808</v>
      </c>
      <c r="J122" s="58">
        <f t="shared" si="16"/>
        <v>0.34047481181239142</v>
      </c>
      <c r="K122" s="58">
        <f t="shared" si="16"/>
        <v>7.476635514018691E-2</v>
      </c>
      <c r="L122" s="58">
        <f t="shared" si="16"/>
        <v>0.12444444444444444</v>
      </c>
      <c r="M122" s="58">
        <f t="shared" si="16"/>
        <v>0.13654984069185255</v>
      </c>
      <c r="N122" s="58">
        <f t="shared" si="16"/>
        <v>0.14428857715430862</v>
      </c>
      <c r="O122" s="58">
        <f t="shared" si="16"/>
        <v>0.10261421939897386</v>
      </c>
      <c r="P122" s="58">
        <f t="shared" si="16"/>
        <v>0.15424164524421594</v>
      </c>
      <c r="Q122" s="58">
        <f t="shared" si="16"/>
        <v>0.13191645291315501</v>
      </c>
      <c r="R122" s="58">
        <f t="shared" si="16"/>
        <v>8.5308056872037921E-2</v>
      </c>
      <c r="S122" s="144">
        <f>AVERAGE(C122:R122)</f>
        <v>0.13210353056237417</v>
      </c>
      <c r="XFD122" s="144">
        <f t="shared" si="4"/>
        <v>2.2135488683846644E-2</v>
      </c>
    </row>
    <row r="123" spans="1:19 16384:16384" s="129" customFormat="1" x14ac:dyDescent="0.25">
      <c r="A123" s="24"/>
      <c r="B123" s="44" t="s">
        <v>46</v>
      </c>
      <c r="C123" s="58">
        <f t="shared" ref="C123:R123" si="17">C102/C$105</f>
        <v>1.6969696969696968E-2</v>
      </c>
      <c r="D123" s="58">
        <f t="shared" si="17"/>
        <v>2.0402380277699066E-2</v>
      </c>
      <c r="E123" s="58">
        <f t="shared" si="17"/>
        <v>1.3651877133105804E-2</v>
      </c>
      <c r="F123" s="58">
        <f t="shared" si="17"/>
        <v>3.7476577139287939E-2</v>
      </c>
      <c r="G123" s="58">
        <f t="shared" si="17"/>
        <v>6.8181818181818177E-2</v>
      </c>
      <c r="H123" s="58">
        <f t="shared" si="17"/>
        <v>4.5889101338432117E-2</v>
      </c>
      <c r="I123" s="58">
        <f t="shared" si="17"/>
        <v>4.6255506607929521E-2</v>
      </c>
      <c r="J123" s="58">
        <f t="shared" si="17"/>
        <v>2.4319629415170817E-2</v>
      </c>
      <c r="K123" s="58">
        <f t="shared" si="17"/>
        <v>7.476635514018691E-2</v>
      </c>
      <c r="L123" s="58">
        <f t="shared" si="17"/>
        <v>7.1111111111111111E-2</v>
      </c>
      <c r="M123" s="58">
        <f t="shared" si="17"/>
        <v>8.1929904415111526E-2</v>
      </c>
      <c r="N123" s="58">
        <f t="shared" si="17"/>
        <v>7.2144288577154311E-2</v>
      </c>
      <c r="O123" s="58">
        <f t="shared" si="17"/>
        <v>2.0522843879794774E-2</v>
      </c>
      <c r="P123" s="58">
        <f t="shared" si="17"/>
        <v>3.0848329048843191E-2</v>
      </c>
      <c r="Q123" s="58">
        <f t="shared" si="17"/>
        <v>1.4657383657017223E-2</v>
      </c>
      <c r="R123" s="58">
        <f t="shared" si="17"/>
        <v>4.2654028436018961E-2</v>
      </c>
      <c r="S123" s="144">
        <f>AVERAGE(C123:R123)</f>
        <v>4.2611301958023644E-2</v>
      </c>
      <c r="XFD123" s="144">
        <f t="shared" si="4"/>
        <v>7.1400210749889967E-3</v>
      </c>
    </row>
    <row r="124" spans="1:19 16384:16384" s="129" customFormat="1" ht="51.75" x14ac:dyDescent="0.25">
      <c r="A124" s="24"/>
      <c r="B124" s="44" t="s">
        <v>47</v>
      </c>
      <c r="C124" s="58">
        <f t="shared" ref="C124:R124" si="18">C103/C$105</f>
        <v>2.5454545454545455E-2</v>
      </c>
      <c r="D124" s="58">
        <f t="shared" si="18"/>
        <v>2.5502975347123834E-2</v>
      </c>
      <c r="E124" s="58">
        <f t="shared" si="18"/>
        <v>8.1911262798634837E-2</v>
      </c>
      <c r="F124" s="58">
        <f t="shared" si="18"/>
        <v>3.7476577139287939E-2</v>
      </c>
      <c r="G124" s="58">
        <f t="shared" si="18"/>
        <v>6.8181818181818177E-2</v>
      </c>
      <c r="H124" s="58">
        <f t="shared" si="18"/>
        <v>6.8833652007648183E-2</v>
      </c>
      <c r="I124" s="58">
        <f t="shared" si="18"/>
        <v>4.6255506607929521E-2</v>
      </c>
      <c r="J124" s="58">
        <f t="shared" si="18"/>
        <v>2.4319629415170817E-2</v>
      </c>
      <c r="K124" s="58">
        <f t="shared" si="18"/>
        <v>7.476635514018691E-2</v>
      </c>
      <c r="L124" s="58">
        <f t="shared" si="18"/>
        <v>0.14222222222222222</v>
      </c>
      <c r="M124" s="58">
        <f t="shared" si="18"/>
        <v>8.1929904415111526E-2</v>
      </c>
      <c r="N124" s="58">
        <f t="shared" si="18"/>
        <v>9.6192384769539091E-2</v>
      </c>
      <c r="O124" s="58">
        <f t="shared" si="18"/>
        <v>3.4204739799657949E-2</v>
      </c>
      <c r="P124" s="58">
        <f t="shared" si="18"/>
        <v>9.2544987146529575E-2</v>
      </c>
      <c r="Q124" s="58">
        <f t="shared" si="18"/>
        <v>4.3972150971051671E-2</v>
      </c>
      <c r="R124" s="58">
        <f t="shared" si="18"/>
        <v>7.1090047393364927E-2</v>
      </c>
      <c r="S124" s="144">
        <f>AVERAGE(C124:R124)</f>
        <v>6.3428672425613911E-2</v>
      </c>
      <c r="XFD124" s="144">
        <f t="shared" si="4"/>
        <v>1.0628214512750409E-2</v>
      </c>
    </row>
    <row r="125" spans="1:19 16384:16384" s="129" customFormat="1" ht="26.25" x14ac:dyDescent="0.25">
      <c r="A125" s="24"/>
      <c r="B125" s="57" t="s">
        <v>119</v>
      </c>
      <c r="C125" s="58">
        <f t="shared" ref="C125:R125" si="19">C104/C$105</f>
        <v>1.2727272727272728E-2</v>
      </c>
      <c r="D125" s="58">
        <f t="shared" si="19"/>
        <v>1.1334655709832813E-2</v>
      </c>
      <c r="E125" s="58">
        <f t="shared" si="19"/>
        <v>1.0238907849829355E-2</v>
      </c>
      <c r="F125" s="58">
        <f t="shared" si="19"/>
        <v>2.4984384759525292E-2</v>
      </c>
      <c r="G125" s="58">
        <f t="shared" si="19"/>
        <v>3.4090909090909088E-2</v>
      </c>
      <c r="H125" s="58">
        <f t="shared" si="19"/>
        <v>5.7361376673040147E-3</v>
      </c>
      <c r="I125" s="58">
        <f t="shared" si="19"/>
        <v>1.3215859030837005E-2</v>
      </c>
      <c r="J125" s="58">
        <f t="shared" si="19"/>
        <v>8.1065431383902722E-3</v>
      </c>
      <c r="K125" s="58">
        <f t="shared" si="19"/>
        <v>9.3457943925233638E-3</v>
      </c>
      <c r="L125" s="58">
        <f t="shared" si="19"/>
        <v>8.8888888888888889E-3</v>
      </c>
      <c r="M125" s="58">
        <f t="shared" si="19"/>
        <v>6.8274920345926275E-3</v>
      </c>
      <c r="N125" s="58">
        <f t="shared" si="19"/>
        <v>1.2024048096192386E-2</v>
      </c>
      <c r="O125" s="58">
        <f t="shared" si="19"/>
        <v>1.7102369899828974E-2</v>
      </c>
      <c r="P125" s="58">
        <f t="shared" si="19"/>
        <v>1.0282776349614397E-2</v>
      </c>
      <c r="Q125" s="58">
        <f t="shared" si="19"/>
        <v>8.794430194210336E-3</v>
      </c>
      <c r="R125" s="58">
        <f t="shared" si="19"/>
        <v>1.4218009478672987E-2</v>
      </c>
      <c r="S125" s="144">
        <f>AVERAGE(C125:R125)</f>
        <v>1.2994904956776533E-2</v>
      </c>
      <c r="XFD125" s="144">
        <f t="shared" si="4"/>
        <v>2.1774480242416614E-3</v>
      </c>
    </row>
    <row r="126" spans="1:19 16384:16384" x14ac:dyDescent="0.25">
      <c r="C126" s="58">
        <f t="shared" ref="C126:R126" si="20">SUM(C110:C125)</f>
        <v>1.0000000000000002</v>
      </c>
      <c r="D126" s="58">
        <f t="shared" si="20"/>
        <v>1</v>
      </c>
      <c r="E126" s="58">
        <f t="shared" si="20"/>
        <v>1.0000000000000002</v>
      </c>
      <c r="F126" s="58">
        <f t="shared" si="20"/>
        <v>0.99999999999999978</v>
      </c>
      <c r="G126" s="58">
        <f t="shared" si="20"/>
        <v>0.99999999999999989</v>
      </c>
      <c r="H126" s="58">
        <f t="shared" si="20"/>
        <v>1</v>
      </c>
      <c r="I126" s="58">
        <f t="shared" si="20"/>
        <v>1.0000000000000002</v>
      </c>
      <c r="J126" s="58">
        <f t="shared" si="20"/>
        <v>1</v>
      </c>
      <c r="K126" s="58">
        <f t="shared" si="20"/>
        <v>1</v>
      </c>
      <c r="L126" s="58">
        <f t="shared" si="20"/>
        <v>1</v>
      </c>
      <c r="M126" s="58">
        <f t="shared" si="20"/>
        <v>1</v>
      </c>
      <c r="N126" s="58">
        <f t="shared" si="20"/>
        <v>1</v>
      </c>
      <c r="O126" s="58">
        <f t="shared" si="20"/>
        <v>0.99999999999999989</v>
      </c>
      <c r="P126" s="58">
        <f t="shared" si="20"/>
        <v>1.0000000000000002</v>
      </c>
      <c r="Q126" s="58">
        <f t="shared" si="20"/>
        <v>1</v>
      </c>
      <c r="R126" s="58">
        <f t="shared" si="20"/>
        <v>1</v>
      </c>
    </row>
    <row r="127" spans="1:19 16384:16384" x14ac:dyDescent="0.25"/>
    <row r="128" spans="1:19 16384:16384" ht="32.25" customHeight="1" x14ac:dyDescent="0.25">
      <c r="C128" s="70" t="s">
        <v>132</v>
      </c>
      <c r="E128" s="70" t="s">
        <v>133</v>
      </c>
    </row>
    <row r="129" spans="3:14" x14ac:dyDescent="0.25">
      <c r="C129" s="131" cm="1">
        <f t="array" ref="C129:C144">MMULT(C89:R104,S110:S125)</f>
        <v>1.1926555676941222</v>
      </c>
      <c r="E129" s="131">
        <f t="shared" ref="E129:E144" si="21">C129/S110</f>
        <v>18.782734408439982</v>
      </c>
    </row>
    <row r="130" spans="3:14" x14ac:dyDescent="0.25">
      <c r="C130" s="131">
        <v>2.3788396888379055</v>
      </c>
      <c r="E130" s="131">
        <f t="shared" si="21"/>
        <v>19.025626231562388</v>
      </c>
    </row>
    <row r="131" spans="3:14" x14ac:dyDescent="0.25">
      <c r="C131" s="131">
        <v>1.0198877733262606</v>
      </c>
      <c r="E131" s="131">
        <f t="shared" si="21"/>
        <v>18.422862339773328</v>
      </c>
      <c r="J131" s="212" t="s">
        <v>113</v>
      </c>
      <c r="K131" s="212"/>
    </row>
    <row r="132" spans="3:14" x14ac:dyDescent="0.25">
      <c r="C132" s="131">
        <v>3.5423359616477055</v>
      </c>
      <c r="E132" s="131">
        <f t="shared" si="21"/>
        <v>19.002650430826289</v>
      </c>
      <c r="J132" s="212"/>
      <c r="K132" s="212"/>
      <c r="M132" s="133">
        <f>(H136-16)/(16-1)</f>
        <v>0.13867712495840673</v>
      </c>
    </row>
    <row r="133" spans="3:14" x14ac:dyDescent="0.25">
      <c r="C133" s="131">
        <v>0.16316106777606318</v>
      </c>
      <c r="E133" s="131">
        <f t="shared" si="21"/>
        <v>17.820666974851544</v>
      </c>
      <c r="J133" s="217" t="s">
        <v>115</v>
      </c>
      <c r="K133" s="217"/>
      <c r="M133" s="41"/>
    </row>
    <row r="134" spans="3:14" x14ac:dyDescent="0.25">
      <c r="C134" s="131">
        <v>0.39786808495973536</v>
      </c>
      <c r="E134" s="131">
        <f t="shared" si="21"/>
        <v>17.337774115743361</v>
      </c>
      <c r="J134" s="217"/>
      <c r="K134" s="217"/>
      <c r="M134" s="133">
        <f>(1.98*(16-2))/16</f>
        <v>1.7324999999999999</v>
      </c>
    </row>
    <row r="135" spans="3:14" x14ac:dyDescent="0.25">
      <c r="C135" s="131">
        <v>1.8034365767126979</v>
      </c>
      <c r="E135" s="131">
        <f t="shared" si="21"/>
        <v>18.382408653653716</v>
      </c>
      <c r="H135" s="3" t="s">
        <v>112</v>
      </c>
      <c r="J135" s="218" t="s">
        <v>117</v>
      </c>
      <c r="K135" s="219"/>
      <c r="M135" s="41"/>
    </row>
    <row r="136" spans="3:14" ht="15.75" x14ac:dyDescent="0.25">
      <c r="C136" s="131">
        <v>1.167254896690989</v>
      </c>
      <c r="E136" s="131">
        <f t="shared" si="21"/>
        <v>18.440024737103922</v>
      </c>
      <c r="G136" s="38" t="s">
        <v>111</v>
      </c>
      <c r="H136" s="39">
        <f>AVERAGE(E129:E144)</f>
        <v>18.080156874376101</v>
      </c>
      <c r="J136" s="219"/>
      <c r="K136" s="219"/>
      <c r="M136" s="133">
        <f>M132/M134</f>
        <v>8.0044516570508942E-2</v>
      </c>
      <c r="N136" s="3" t="str">
        <f>IF(M136&gt;10%,"Inconsistente","Concistente")</f>
        <v>Concistente</v>
      </c>
    </row>
    <row r="137" spans="3:14" x14ac:dyDescent="0.25">
      <c r="C137" s="131">
        <v>0.78856610021859419</v>
      </c>
      <c r="E137" s="131">
        <f t="shared" si="21"/>
        <v>17.798355461119986</v>
      </c>
    </row>
    <row r="138" spans="3:14" x14ac:dyDescent="0.25">
      <c r="C138" s="131">
        <v>0.34094836761577679</v>
      </c>
      <c r="E138" s="131">
        <f t="shared" si="21"/>
        <v>17.098278887345582</v>
      </c>
    </row>
    <row r="139" spans="3:14" x14ac:dyDescent="0.25">
      <c r="C139" s="131">
        <v>0.59129822380018826</v>
      </c>
      <c r="E139" s="131">
        <f t="shared" si="21"/>
        <v>17.105236402033015</v>
      </c>
    </row>
    <row r="140" spans="3:14" x14ac:dyDescent="0.25">
      <c r="C140" s="131">
        <v>0.45654177967295612</v>
      </c>
      <c r="E140" s="131">
        <f t="shared" si="21"/>
        <v>17.403172800974708</v>
      </c>
    </row>
    <row r="141" spans="3:14" x14ac:dyDescent="0.25">
      <c r="C141" s="131">
        <v>2.5169661628230537</v>
      </c>
      <c r="E141" s="131">
        <f t="shared" si="21"/>
        <v>19.052981794719255</v>
      </c>
    </row>
    <row r="142" spans="3:14" x14ac:dyDescent="0.25">
      <c r="C142" s="131">
        <v>0.75716566993436152</v>
      </c>
      <c r="E142" s="131">
        <f t="shared" si="21"/>
        <v>17.769127793378498</v>
      </c>
    </row>
    <row r="143" spans="3:14" x14ac:dyDescent="0.25">
      <c r="C143" s="131">
        <v>1.1663220755253541</v>
      </c>
      <c r="E143" s="131">
        <f t="shared" si="21"/>
        <v>18.387931371150174</v>
      </c>
    </row>
    <row r="144" spans="3:14" x14ac:dyDescent="0.25">
      <c r="C144" s="131">
        <v>0.22679588648877211</v>
      </c>
      <c r="E144" s="131">
        <f t="shared" si="21"/>
        <v>17.452677587341913</v>
      </c>
    </row>
    <row r="145" spans="2:18" x14ac:dyDescent="0.25"/>
    <row r="146" spans="2:18" x14ac:dyDescent="0.25"/>
    <row r="147" spans="2:18" x14ac:dyDescent="0.25"/>
    <row r="148" spans="2:18" x14ac:dyDescent="0.25"/>
    <row r="149" spans="2:18" ht="18.75" x14ac:dyDescent="0.3">
      <c r="C149" s="220" t="s">
        <v>123</v>
      </c>
      <c r="D149" s="220"/>
      <c r="E149" s="220"/>
      <c r="F149" s="220"/>
      <c r="G149" s="220"/>
      <c r="H149" s="220"/>
      <c r="I149" s="220"/>
      <c r="J149" s="220"/>
      <c r="K149" s="220"/>
      <c r="L149" s="220"/>
      <c r="M149" s="220"/>
      <c r="N149" s="220"/>
      <c r="O149" s="220"/>
      <c r="P149" s="220"/>
      <c r="Q149" s="220"/>
      <c r="R149" s="220"/>
    </row>
    <row r="150" spans="2:18" ht="43.5" customHeight="1" x14ac:dyDescent="0.25">
      <c r="B150" s="59" t="s">
        <v>124</v>
      </c>
      <c r="C150" s="117" t="s">
        <v>125</v>
      </c>
      <c r="D150" s="117" t="s">
        <v>49</v>
      </c>
      <c r="E150" s="117" t="s">
        <v>50</v>
      </c>
      <c r="F150" s="222" t="s">
        <v>97</v>
      </c>
      <c r="G150" s="222"/>
      <c r="H150" s="222"/>
      <c r="I150" s="60" t="s">
        <v>126</v>
      </c>
      <c r="L150" s="117" t="s">
        <v>132</v>
      </c>
      <c r="N150" s="117" t="s">
        <v>133</v>
      </c>
    </row>
    <row r="151" spans="2:18" ht="36.75" customHeight="1" x14ac:dyDescent="0.25">
      <c r="B151" s="116" t="s">
        <v>125</v>
      </c>
      <c r="C151" s="61">
        <v>1</v>
      </c>
      <c r="D151" s="62">
        <v>6</v>
      </c>
      <c r="E151" s="62">
        <f>1/C153</f>
        <v>0.5</v>
      </c>
      <c r="F151" s="137">
        <f t="shared" ref="F151:H153" si="22">C151/C$154</f>
        <v>0.31578947368421051</v>
      </c>
      <c r="G151" s="137">
        <f t="shared" si="22"/>
        <v>0.46153846153846156</v>
      </c>
      <c r="H151" s="137">
        <f t="shared" si="22"/>
        <v>0.30000000000000004</v>
      </c>
      <c r="I151" s="147">
        <f>AVERAGE(F151:H151)</f>
        <v>0.35910931174089072</v>
      </c>
      <c r="J151" s="144">
        <f>I151*$K$46</f>
        <v>0.17846685370969284</v>
      </c>
      <c r="L151" s="131" cm="1">
        <f t="array" ref="L151:L153">MMULT(C151:E153,I151:I153)</f>
        <v>1.1004048582995951</v>
      </c>
      <c r="N151" s="131">
        <f>L151/I151</f>
        <v>3.0642615558060875</v>
      </c>
      <c r="Q151" s="3" t="s">
        <v>112</v>
      </c>
    </row>
    <row r="152" spans="2:18" ht="43.5" customHeight="1" x14ac:dyDescent="0.25">
      <c r="B152" s="116" t="s">
        <v>49</v>
      </c>
      <c r="C152" s="62">
        <f>1/D151</f>
        <v>0.16666666666666666</v>
      </c>
      <c r="D152" s="61">
        <v>1</v>
      </c>
      <c r="E152" s="62">
        <f>1/D153</f>
        <v>0.16666666666666666</v>
      </c>
      <c r="F152" s="137">
        <f t="shared" si="22"/>
        <v>5.2631578947368411E-2</v>
      </c>
      <c r="G152" s="137">
        <f t="shared" si="22"/>
        <v>7.6923076923076927E-2</v>
      </c>
      <c r="H152" s="137">
        <f t="shared" si="22"/>
        <v>0.1</v>
      </c>
      <c r="I152" s="147">
        <f>AVERAGE(F152:H152)</f>
        <v>7.6518218623481779E-2</v>
      </c>
      <c r="J152" s="144">
        <f>I152*$K$46</f>
        <v>3.8027322831039392E-2</v>
      </c>
      <c r="L152" s="131">
        <v>0.23043184885290147</v>
      </c>
      <c r="N152" s="131">
        <f>L152/I152</f>
        <v>3.011463844797178</v>
      </c>
      <c r="P152" s="38" t="s">
        <v>111</v>
      </c>
      <c r="Q152" s="132">
        <f>AVERAGE(N151:N153)</f>
        <v>3.0539362047921936</v>
      </c>
    </row>
    <row r="153" spans="2:18" ht="62.25" customHeight="1" x14ac:dyDescent="0.25">
      <c r="B153" s="116" t="s">
        <v>50</v>
      </c>
      <c r="C153" s="62">
        <v>2</v>
      </c>
      <c r="D153" s="62">
        <v>6</v>
      </c>
      <c r="E153" s="61">
        <v>1</v>
      </c>
      <c r="F153" s="137">
        <f t="shared" si="22"/>
        <v>0.63157894736842102</v>
      </c>
      <c r="G153" s="137">
        <f t="shared" si="22"/>
        <v>0.46153846153846156</v>
      </c>
      <c r="H153" s="137">
        <f t="shared" si="22"/>
        <v>0.60000000000000009</v>
      </c>
      <c r="I153" s="147">
        <f>AVERAGE(F153:H153)</f>
        <v>0.56437246963562748</v>
      </c>
      <c r="J153" s="144">
        <f>I153*$K$46</f>
        <v>0.28047665622470325</v>
      </c>
      <c r="L153" s="131">
        <v>1.7417004048582996</v>
      </c>
      <c r="N153" s="131">
        <f>L153/I153</f>
        <v>3.0860832137733145</v>
      </c>
    </row>
    <row r="154" spans="2:18" x14ac:dyDescent="0.25">
      <c r="C154">
        <f t="shared" ref="C154:H154" si="23">SUM(C151:C153)</f>
        <v>3.166666666666667</v>
      </c>
      <c r="D154">
        <f t="shared" si="23"/>
        <v>13</v>
      </c>
      <c r="E154">
        <f t="shared" si="23"/>
        <v>1.6666666666666665</v>
      </c>
      <c r="F154">
        <f t="shared" si="23"/>
        <v>1</v>
      </c>
      <c r="G154">
        <f t="shared" si="23"/>
        <v>1</v>
      </c>
      <c r="H154">
        <f t="shared" si="23"/>
        <v>1</v>
      </c>
      <c r="I154"/>
    </row>
    <row r="155" spans="2:18" x14ac:dyDescent="0.25"/>
    <row r="156" spans="2:18" x14ac:dyDescent="0.25"/>
    <row r="157" spans="2:18" x14ac:dyDescent="0.25"/>
    <row r="158" spans="2:18" x14ac:dyDescent="0.25"/>
    <row r="159" spans="2:18" x14ac:dyDescent="0.25">
      <c r="E159" s="212" t="s">
        <v>113</v>
      </c>
      <c r="F159" s="212"/>
    </row>
    <row r="160" spans="2:18" x14ac:dyDescent="0.25">
      <c r="E160" s="212"/>
      <c r="F160" s="212"/>
      <c r="H160" s="133">
        <f>(Q152-3)/(3-1)</f>
        <v>2.6968102396096816E-2</v>
      </c>
    </row>
    <row r="161" spans="2:18" x14ac:dyDescent="0.25">
      <c r="E161" s="217" t="s">
        <v>115</v>
      </c>
      <c r="F161" s="217"/>
      <c r="H161" s="41"/>
    </row>
    <row r="162" spans="2:18" x14ac:dyDescent="0.25">
      <c r="E162" s="217"/>
      <c r="F162" s="217"/>
      <c r="H162" s="133">
        <f>(1.98*(3-2))/3</f>
        <v>0.66</v>
      </c>
    </row>
    <row r="163" spans="2:18" x14ac:dyDescent="0.25">
      <c r="E163" s="218" t="s">
        <v>117</v>
      </c>
      <c r="F163" s="219"/>
      <c r="H163" s="41"/>
    </row>
    <row r="164" spans="2:18" x14ac:dyDescent="0.25">
      <c r="E164" s="219"/>
      <c r="F164" s="219"/>
      <c r="H164" s="133">
        <f>H160/H162</f>
        <v>4.0860761206207297E-2</v>
      </c>
      <c r="I164" s="3" t="str">
        <f>IF(H164&gt;10%,"Inconsistente","Concistente")</f>
        <v>Concistente</v>
      </c>
    </row>
    <row r="165" spans="2:18" x14ac:dyDescent="0.25"/>
    <row r="166" spans="2:18" x14ac:dyDescent="0.25"/>
    <row r="167" spans="2:18" x14ac:dyDescent="0.25"/>
    <row r="168" spans="2:18" ht="18.75" x14ac:dyDescent="0.3">
      <c r="C168" s="220" t="s">
        <v>130</v>
      </c>
      <c r="D168" s="220"/>
      <c r="E168" s="220"/>
      <c r="F168" s="220"/>
      <c r="G168" s="220"/>
      <c r="H168" s="220"/>
      <c r="I168" s="220"/>
      <c r="J168" s="220"/>
      <c r="K168" s="220"/>
      <c r="L168" s="220"/>
      <c r="M168" s="220"/>
      <c r="N168" s="220"/>
      <c r="O168" s="220"/>
      <c r="P168" s="220"/>
      <c r="Q168" s="220"/>
      <c r="R168" s="220"/>
    </row>
    <row r="169" spans="2:18" ht="45" customHeight="1" x14ac:dyDescent="0.25">
      <c r="B169" s="64" t="s">
        <v>90</v>
      </c>
      <c r="C169" s="63" t="s">
        <v>127</v>
      </c>
      <c r="D169" s="65" t="s">
        <v>51</v>
      </c>
      <c r="E169" s="63" t="s">
        <v>128</v>
      </c>
      <c r="F169" s="63" t="s">
        <v>52</v>
      </c>
      <c r="G169" s="63" t="s">
        <v>53</v>
      </c>
      <c r="H169" s="63" t="s">
        <v>129</v>
      </c>
      <c r="I169" s="222" t="s">
        <v>97</v>
      </c>
      <c r="J169" s="222"/>
      <c r="K169" s="222"/>
      <c r="L169" s="222"/>
      <c r="M169" s="222"/>
      <c r="N169" s="222"/>
      <c r="O169" s="65" t="s">
        <v>131</v>
      </c>
      <c r="Q169" s="65" t="s">
        <v>132</v>
      </c>
      <c r="R169" s="65" t="s">
        <v>133</v>
      </c>
    </row>
    <row r="170" spans="2:18" x14ac:dyDescent="0.25">
      <c r="B170" s="65" t="s">
        <v>127</v>
      </c>
      <c r="C170" s="66">
        <v>1</v>
      </c>
      <c r="D170" s="34">
        <f>1/C171</f>
        <v>0.25</v>
      </c>
      <c r="E170" s="34">
        <f>1/C172</f>
        <v>0.33333333333333331</v>
      </c>
      <c r="F170" s="34">
        <f>1/C173</f>
        <v>0.2</v>
      </c>
      <c r="G170" s="34">
        <v>5</v>
      </c>
      <c r="H170" s="68">
        <f>1/C175</f>
        <v>0.33333333333333331</v>
      </c>
      <c r="I170" s="138">
        <f t="shared" ref="I170:N175" si="24">C170/C$176</f>
        <v>6.1728395061728399E-2</v>
      </c>
      <c r="J170" s="138">
        <f t="shared" si="24"/>
        <v>6.0344827586206906E-2</v>
      </c>
      <c r="K170" s="138">
        <f t="shared" si="24"/>
        <v>2.2727272727272728E-2</v>
      </c>
      <c r="L170" s="138">
        <f t="shared" si="24"/>
        <v>8.3333333333333343E-2</v>
      </c>
      <c r="M170" s="138">
        <f t="shared" si="24"/>
        <v>0.19230769230769232</v>
      </c>
      <c r="N170" s="138">
        <f t="shared" si="24"/>
        <v>4.8780487804878044E-2</v>
      </c>
      <c r="O170" s="145">
        <f t="shared" ref="O170:O175" si="25">AVERAGE(I170:N170)</f>
        <v>7.820366813685195E-2</v>
      </c>
      <c r="P170" s="143">
        <f t="shared" ref="P170:P175" si="26">O170*$K$47</f>
        <v>7.5922683404497267E-3</v>
      </c>
      <c r="Q170" s="129" cm="1">
        <f t="array" ref="Q170:Q175">MMULT(C170:H175,O170:O175)</f>
        <v>0.48137655873936364</v>
      </c>
      <c r="R170" s="129">
        <f t="shared" ref="R170:R175" si="27">Q170/O170</f>
        <v>6.1554217367014319</v>
      </c>
    </row>
    <row r="171" spans="2:18" ht="30" x14ac:dyDescent="0.25">
      <c r="B171" s="65" t="s">
        <v>51</v>
      </c>
      <c r="C171" s="34">
        <v>4</v>
      </c>
      <c r="D171" s="66">
        <v>1</v>
      </c>
      <c r="E171" s="34">
        <v>4</v>
      </c>
      <c r="F171" s="34">
        <f>1/D173</f>
        <v>0.5</v>
      </c>
      <c r="G171" s="34">
        <v>7</v>
      </c>
      <c r="H171" s="68">
        <v>2</v>
      </c>
      <c r="I171" s="138">
        <f t="shared" si="24"/>
        <v>0.24691358024691359</v>
      </c>
      <c r="J171" s="138">
        <f t="shared" si="24"/>
        <v>0.24137931034482762</v>
      </c>
      <c r="K171" s="138">
        <f t="shared" si="24"/>
        <v>0.27272727272727276</v>
      </c>
      <c r="L171" s="138">
        <f t="shared" si="24"/>
        <v>0.20833333333333334</v>
      </c>
      <c r="M171" s="138">
        <f t="shared" si="24"/>
        <v>0.26923076923076922</v>
      </c>
      <c r="N171" s="138">
        <f t="shared" si="24"/>
        <v>0.29268292682926828</v>
      </c>
      <c r="O171" s="145">
        <f t="shared" si="25"/>
        <v>0.2552111987853975</v>
      </c>
      <c r="P171" s="143">
        <f t="shared" si="26"/>
        <v>2.477673938869274E-2</v>
      </c>
      <c r="Q171" s="129">
        <v>1.7078812416164066</v>
      </c>
      <c r="R171" s="129">
        <f t="shared" si="27"/>
        <v>6.6920309521861272</v>
      </c>
    </row>
    <row r="172" spans="2:18" ht="30" x14ac:dyDescent="0.25">
      <c r="B172" s="65" t="s">
        <v>128</v>
      </c>
      <c r="C172" s="34">
        <v>3</v>
      </c>
      <c r="D172" s="34">
        <f>1/E171</f>
        <v>0.25</v>
      </c>
      <c r="E172" s="66">
        <v>1</v>
      </c>
      <c r="F172" s="34">
        <f>1/E173</f>
        <v>0.2</v>
      </c>
      <c r="G172" s="34">
        <f>3</f>
        <v>3</v>
      </c>
      <c r="H172" s="68">
        <f>1/E175</f>
        <v>0.25</v>
      </c>
      <c r="I172" s="138">
        <f t="shared" si="24"/>
        <v>0.1851851851851852</v>
      </c>
      <c r="J172" s="138">
        <f t="shared" si="24"/>
        <v>6.0344827586206906E-2</v>
      </c>
      <c r="K172" s="138">
        <f t="shared" si="24"/>
        <v>6.8181818181818191E-2</v>
      </c>
      <c r="L172" s="138">
        <f t="shared" si="24"/>
        <v>8.3333333333333343E-2</v>
      </c>
      <c r="M172" s="138">
        <f t="shared" si="24"/>
        <v>0.11538461538461539</v>
      </c>
      <c r="N172" s="138">
        <f t="shared" si="24"/>
        <v>3.6585365853658534E-2</v>
      </c>
      <c r="O172" s="145">
        <f t="shared" si="25"/>
        <v>9.1502524254136283E-2</v>
      </c>
      <c r="P172" s="143">
        <f t="shared" si="26"/>
        <v>8.8833648665968754E-3</v>
      </c>
      <c r="Q172" s="129">
        <v>0.61330213287536206</v>
      </c>
      <c r="R172" s="129">
        <f t="shared" si="27"/>
        <v>6.7025706435376105</v>
      </c>
    </row>
    <row r="173" spans="2:18" x14ac:dyDescent="0.25">
      <c r="B173" s="65" t="s">
        <v>52</v>
      </c>
      <c r="C173" s="34">
        <v>5</v>
      </c>
      <c r="D173" s="34">
        <v>2</v>
      </c>
      <c r="E173" s="34">
        <v>5</v>
      </c>
      <c r="F173" s="66">
        <v>1</v>
      </c>
      <c r="G173" s="34">
        <v>6</v>
      </c>
      <c r="H173" s="68">
        <v>3</v>
      </c>
      <c r="I173" s="138">
        <f t="shared" si="24"/>
        <v>0.30864197530864201</v>
      </c>
      <c r="J173" s="138">
        <f t="shared" si="24"/>
        <v>0.48275862068965525</v>
      </c>
      <c r="K173" s="138">
        <f t="shared" si="24"/>
        <v>0.34090909090909094</v>
      </c>
      <c r="L173" s="138">
        <f t="shared" si="24"/>
        <v>0.41666666666666669</v>
      </c>
      <c r="M173" s="138">
        <f t="shared" si="24"/>
        <v>0.23076923076923078</v>
      </c>
      <c r="N173" s="138">
        <f t="shared" si="24"/>
        <v>0.43902439024390238</v>
      </c>
      <c r="O173" s="145">
        <f t="shared" si="25"/>
        <v>0.36979499576453129</v>
      </c>
      <c r="P173" s="143">
        <f t="shared" si="26"/>
        <v>3.5900909838227565E-2</v>
      </c>
      <c r="Q173" s="129">
        <v>2.4516347240274912</v>
      </c>
      <c r="R173" s="129">
        <f t="shared" si="27"/>
        <v>6.6297130899753469</v>
      </c>
    </row>
    <row r="174" spans="2:18" x14ac:dyDescent="0.25">
      <c r="B174" s="65" t="s">
        <v>53</v>
      </c>
      <c r="C174" s="34">
        <f>1/G170</f>
        <v>0.2</v>
      </c>
      <c r="D174" s="34">
        <f>1/G171</f>
        <v>0.14285714285714285</v>
      </c>
      <c r="E174" s="34">
        <f>1/G172</f>
        <v>0.33333333333333331</v>
      </c>
      <c r="F174" s="34">
        <f>1/G173</f>
        <v>0.16666666666666666</v>
      </c>
      <c r="G174" s="66">
        <v>1</v>
      </c>
      <c r="H174" s="68">
        <f>1/G175</f>
        <v>0.25</v>
      </c>
      <c r="I174" s="138">
        <f t="shared" si="24"/>
        <v>1.234567901234568E-2</v>
      </c>
      <c r="J174" s="138">
        <f t="shared" si="24"/>
        <v>3.4482758620689655E-2</v>
      </c>
      <c r="K174" s="138">
        <f t="shared" si="24"/>
        <v>2.2727272727272728E-2</v>
      </c>
      <c r="L174" s="138">
        <f t="shared" si="24"/>
        <v>6.9444444444444448E-2</v>
      </c>
      <c r="M174" s="138">
        <f t="shared" si="24"/>
        <v>3.8461538461538464E-2</v>
      </c>
      <c r="N174" s="138">
        <f t="shared" si="24"/>
        <v>3.6585365853658534E-2</v>
      </c>
      <c r="O174" s="145">
        <f t="shared" si="25"/>
        <v>3.5674509853324918E-2</v>
      </c>
      <c r="P174" s="143">
        <f t="shared" si="26"/>
        <v>3.4633983056458146E-3</v>
      </c>
      <c r="Q174" s="129">
        <v>0.22231060267789701</v>
      </c>
      <c r="R174" s="129">
        <f t="shared" si="27"/>
        <v>6.2316371995557311</v>
      </c>
    </row>
    <row r="175" spans="2:18" x14ac:dyDescent="0.25">
      <c r="B175" s="65" t="s">
        <v>129</v>
      </c>
      <c r="C175" s="34">
        <v>3</v>
      </c>
      <c r="D175" s="34">
        <f>1/H171</f>
        <v>0.5</v>
      </c>
      <c r="E175" s="34">
        <v>4</v>
      </c>
      <c r="F175" s="34">
        <f>1/H173</f>
        <v>0.33333333333333331</v>
      </c>
      <c r="G175" s="34">
        <v>4</v>
      </c>
      <c r="H175" s="69">
        <v>1</v>
      </c>
      <c r="I175" s="138">
        <f t="shared" si="24"/>
        <v>0.1851851851851852</v>
      </c>
      <c r="J175" s="138">
        <f t="shared" si="24"/>
        <v>0.12068965517241381</v>
      </c>
      <c r="K175" s="138">
        <f t="shared" si="24"/>
        <v>0.27272727272727276</v>
      </c>
      <c r="L175" s="138">
        <f t="shared" si="24"/>
        <v>0.1388888888888889</v>
      </c>
      <c r="M175" s="138">
        <f t="shared" si="24"/>
        <v>0.15384615384615385</v>
      </c>
      <c r="N175" s="138">
        <f t="shared" si="24"/>
        <v>0.14634146341463414</v>
      </c>
      <c r="O175" s="145">
        <f t="shared" si="25"/>
        <v>0.16961310320575809</v>
      </c>
      <c r="P175" s="143">
        <f t="shared" si="26"/>
        <v>1.6466595803933691E-2</v>
      </c>
      <c r="Q175" s="129">
        <v>1.1638028420270348</v>
      </c>
      <c r="R175" s="129">
        <f t="shared" si="27"/>
        <v>6.8615149421281592</v>
      </c>
    </row>
    <row r="176" spans="2:18" x14ac:dyDescent="0.25">
      <c r="B176"/>
      <c r="C176" s="67">
        <f t="shared" ref="C176:N176" si="28">SUM(C170:C175)</f>
        <v>16.2</v>
      </c>
      <c r="D176" s="67">
        <f t="shared" si="28"/>
        <v>4.1428571428571423</v>
      </c>
      <c r="E176" s="67">
        <f t="shared" si="28"/>
        <v>14.666666666666666</v>
      </c>
      <c r="F176" s="67">
        <f t="shared" si="28"/>
        <v>2.4</v>
      </c>
      <c r="G176" s="67">
        <f t="shared" si="28"/>
        <v>26</v>
      </c>
      <c r="H176" s="67">
        <f t="shared" si="28"/>
        <v>6.8333333333333339</v>
      </c>
      <c r="I176" s="139">
        <f t="shared" si="28"/>
        <v>1.0000000000000002</v>
      </c>
      <c r="J176" s="139">
        <f t="shared" si="28"/>
        <v>1</v>
      </c>
      <c r="K176" s="139">
        <f t="shared" si="28"/>
        <v>1</v>
      </c>
      <c r="L176" s="139">
        <f t="shared" si="28"/>
        <v>1</v>
      </c>
      <c r="M176" s="139">
        <f t="shared" si="28"/>
        <v>1</v>
      </c>
      <c r="N176" s="139">
        <f t="shared" si="28"/>
        <v>0.99999999999999989</v>
      </c>
      <c r="O176"/>
    </row>
    <row r="177" spans="3:18" x14ac:dyDescent="0.25"/>
    <row r="178" spans="3:18" x14ac:dyDescent="0.25"/>
    <row r="179" spans="3:18" x14ac:dyDescent="0.25"/>
    <row r="180" spans="3:18" x14ac:dyDescent="0.25"/>
    <row r="181" spans="3:18" x14ac:dyDescent="0.25">
      <c r="H181" s="212" t="s">
        <v>113</v>
      </c>
      <c r="I181" s="212"/>
    </row>
    <row r="182" spans="3:18" x14ac:dyDescent="0.25">
      <c r="E182" s="3" t="s">
        <v>112</v>
      </c>
      <c r="H182" s="212"/>
      <c r="I182" s="212"/>
      <c r="K182" s="133">
        <f>(E183-6)/(6-1)</f>
        <v>0.10909628546948014</v>
      </c>
    </row>
    <row r="183" spans="3:18" ht="15.75" x14ac:dyDescent="0.25">
      <c r="D183" s="38" t="s">
        <v>111</v>
      </c>
      <c r="E183" s="132">
        <f>AVERAGE(R170:R175)</f>
        <v>6.5454814273474007</v>
      </c>
      <c r="H183" s="217" t="s">
        <v>115</v>
      </c>
      <c r="I183" s="217"/>
      <c r="K183" s="41"/>
    </row>
    <row r="184" spans="3:18" x14ac:dyDescent="0.25">
      <c r="H184" s="217"/>
      <c r="I184" s="217"/>
      <c r="K184" s="133">
        <f>(1.98*(6-2))/6</f>
        <v>1.32</v>
      </c>
    </row>
    <row r="185" spans="3:18" x14ac:dyDescent="0.25">
      <c r="H185" s="218" t="s">
        <v>117</v>
      </c>
      <c r="I185" s="219"/>
      <c r="K185" s="41"/>
    </row>
    <row r="186" spans="3:18" x14ac:dyDescent="0.25">
      <c r="H186" s="219"/>
      <c r="I186" s="219"/>
      <c r="K186" s="133">
        <f>K182/K184</f>
        <v>8.2648701113242518E-2</v>
      </c>
      <c r="L186" s="3" t="str">
        <f>IF(K186&gt;10%,"Inconsistente","Concistente")</f>
        <v>Concistente</v>
      </c>
    </row>
    <row r="187" spans="3:18" x14ac:dyDescent="0.25"/>
    <row r="188" spans="3:18" x14ac:dyDescent="0.25"/>
    <row r="189" spans="3:18" x14ac:dyDescent="0.25"/>
    <row r="190" spans="3:18" ht="18.75" x14ac:dyDescent="0.3">
      <c r="C190" s="220" t="s">
        <v>136</v>
      </c>
      <c r="D190" s="220"/>
      <c r="E190" s="220"/>
      <c r="F190" s="220"/>
      <c r="G190" s="220"/>
      <c r="H190" s="220"/>
      <c r="I190" s="220"/>
      <c r="J190" s="220"/>
      <c r="K190" s="220"/>
      <c r="L190" s="220"/>
      <c r="M190" s="220"/>
      <c r="N190" s="220"/>
      <c r="O190" s="220"/>
      <c r="P190" s="220"/>
      <c r="Q190" s="220"/>
      <c r="R190" s="220"/>
    </row>
    <row r="191" spans="3:18" ht="45" x14ac:dyDescent="0.25">
      <c r="C191" s="72" t="s">
        <v>134</v>
      </c>
      <c r="D191" s="71" t="s">
        <v>54</v>
      </c>
      <c r="E191" s="71" t="s">
        <v>55</v>
      </c>
      <c r="F191" s="71" t="s">
        <v>56</v>
      </c>
      <c r="G191" s="227" t="s">
        <v>97</v>
      </c>
      <c r="H191" s="227"/>
      <c r="I191" s="227"/>
      <c r="J191" s="71" t="s">
        <v>135</v>
      </c>
      <c r="M191" s="71" t="s">
        <v>132</v>
      </c>
      <c r="O191" s="71" t="s">
        <v>133</v>
      </c>
    </row>
    <row r="192" spans="3:18" x14ac:dyDescent="0.25">
      <c r="C192" s="71" t="s">
        <v>54</v>
      </c>
      <c r="D192" s="66">
        <v>1</v>
      </c>
      <c r="E192" s="34">
        <v>3</v>
      </c>
      <c r="F192" s="68">
        <v>7</v>
      </c>
      <c r="G192" s="140">
        <f t="shared" ref="G192:I194" si="29">D192/D$195</f>
        <v>0.67741935483870974</v>
      </c>
      <c r="H192" s="140">
        <f t="shared" si="29"/>
        <v>0.7142857142857143</v>
      </c>
      <c r="I192" s="140">
        <f t="shared" si="29"/>
        <v>0.53846153846153844</v>
      </c>
      <c r="J192" s="146">
        <f>AVERAGE(G192:I192)</f>
        <v>0.64338886919532079</v>
      </c>
      <c r="K192" s="144">
        <f>J192*$K$48</f>
        <v>0.15337375179832982</v>
      </c>
      <c r="M192" s="131" cm="1">
        <f t="array" ref="M192:M194">MMULT(D192:F194,J192:J194)</f>
        <v>2.0083106857300406</v>
      </c>
      <c r="O192" s="129">
        <f>M192/J192</f>
        <v>3.1214569941842671</v>
      </c>
      <c r="R192" s="3" t="s">
        <v>112</v>
      </c>
    </row>
    <row r="193" spans="3:18" ht="30" x14ac:dyDescent="0.25">
      <c r="C193" s="71" t="s">
        <v>55</v>
      </c>
      <c r="D193" s="34">
        <f>1/E192</f>
        <v>0.33333333333333331</v>
      </c>
      <c r="E193" s="66">
        <v>1</v>
      </c>
      <c r="F193" s="68">
        <v>5</v>
      </c>
      <c r="G193" s="140">
        <f t="shared" si="29"/>
        <v>0.22580645161290325</v>
      </c>
      <c r="H193" s="140">
        <f t="shared" si="29"/>
        <v>0.23809523809523808</v>
      </c>
      <c r="I193" s="140">
        <f t="shared" si="29"/>
        <v>0.38461538461538464</v>
      </c>
      <c r="J193" s="146">
        <f>AVERAGE(G193:I193)</f>
        <v>0.28283902477450867</v>
      </c>
      <c r="K193" s="144">
        <f>J193*$K$48</f>
        <v>6.7424359452941937E-2</v>
      </c>
      <c r="M193" s="131">
        <v>0.86616251132380162</v>
      </c>
      <c r="O193" s="129">
        <f>M193/J193</f>
        <v>3.062386854198579</v>
      </c>
      <c r="Q193" s="38" t="s">
        <v>111</v>
      </c>
      <c r="R193" s="132">
        <f>AVERAGE(O192:O194)</f>
        <v>3.065511827120929</v>
      </c>
    </row>
    <row r="194" spans="3:18" x14ac:dyDescent="0.25">
      <c r="C194" s="71" t="s">
        <v>56</v>
      </c>
      <c r="D194" s="34">
        <f>1/F192</f>
        <v>0.14285714285714285</v>
      </c>
      <c r="E194" s="34">
        <f>1/F193</f>
        <v>0.2</v>
      </c>
      <c r="F194" s="69">
        <v>1</v>
      </c>
      <c r="G194" s="140">
        <f t="shared" si="29"/>
        <v>9.6774193548387094E-2</v>
      </c>
      <c r="H194" s="140">
        <f t="shared" si="29"/>
        <v>4.7619047619047616E-2</v>
      </c>
      <c r="I194" s="140">
        <f t="shared" si="29"/>
        <v>7.6923076923076927E-2</v>
      </c>
      <c r="J194" s="146">
        <f>AVERAGE(G194:I194)</f>
        <v>7.3772106030170551E-2</v>
      </c>
      <c r="K194" s="144">
        <f>J194*$K$48</f>
        <v>1.7586105731146114E-2</v>
      </c>
      <c r="M194" s="131">
        <v>0.22225260658440382</v>
      </c>
      <c r="O194" s="129">
        <f>M194/J194</f>
        <v>3.0126916329799402</v>
      </c>
    </row>
    <row r="195" spans="3:18" x14ac:dyDescent="0.25">
      <c r="C195"/>
      <c r="D195" s="141">
        <f t="shared" ref="D195:I195" si="30">SUM(D192:D194)</f>
        <v>1.4761904761904761</v>
      </c>
      <c r="E195" s="141">
        <f t="shared" si="30"/>
        <v>4.2</v>
      </c>
      <c r="F195" s="141">
        <f t="shared" si="30"/>
        <v>13</v>
      </c>
      <c r="G195" s="141">
        <f t="shared" si="30"/>
        <v>1</v>
      </c>
      <c r="H195" s="141">
        <f t="shared" si="30"/>
        <v>1</v>
      </c>
      <c r="I195" s="141">
        <f t="shared" si="30"/>
        <v>1</v>
      </c>
      <c r="J195" s="32"/>
    </row>
    <row r="196" spans="3:18" x14ac:dyDescent="0.25"/>
    <row r="197" spans="3:18" x14ac:dyDescent="0.25"/>
    <row r="198" spans="3:18" x14ac:dyDescent="0.25"/>
    <row r="199" spans="3:18" x14ac:dyDescent="0.25"/>
    <row r="200" spans="3:18" x14ac:dyDescent="0.25">
      <c r="E200" s="212" t="s">
        <v>113</v>
      </c>
      <c r="F200" s="212"/>
    </row>
    <row r="201" spans="3:18" x14ac:dyDescent="0.25">
      <c r="E201" s="212"/>
      <c r="F201" s="212"/>
      <c r="H201" s="133">
        <f>(R193-3)/(3-1)</f>
        <v>3.2755913560464478E-2</v>
      </c>
    </row>
    <row r="202" spans="3:18" x14ac:dyDescent="0.25">
      <c r="E202" s="217" t="s">
        <v>115</v>
      </c>
      <c r="F202" s="217"/>
      <c r="H202" s="41"/>
    </row>
    <row r="203" spans="3:18" x14ac:dyDescent="0.25">
      <c r="E203" s="217"/>
      <c r="F203" s="217"/>
      <c r="H203" s="133">
        <f>(1.98*(3-2))/3</f>
        <v>0.66</v>
      </c>
    </row>
    <row r="204" spans="3:18" x14ac:dyDescent="0.25">
      <c r="E204" s="218" t="s">
        <v>117</v>
      </c>
      <c r="F204" s="219"/>
      <c r="H204" s="41"/>
    </row>
    <row r="205" spans="3:18" x14ac:dyDescent="0.25">
      <c r="E205" s="219"/>
      <c r="F205" s="219"/>
      <c r="H205" s="133">
        <f>H201/H203</f>
        <v>4.9630172061309812E-2</v>
      </c>
      <c r="I205" s="3" t="str">
        <f>IF(H205&gt;10%,"Inconsistente","Concistente")</f>
        <v>Concistente</v>
      </c>
    </row>
    <row r="206" spans="3:18" x14ac:dyDescent="0.25">
      <c r="E206" s="28"/>
      <c r="F206" s="28"/>
      <c r="H206" s="41"/>
      <c r="I206" s="3"/>
    </row>
    <row r="207" spans="3:18" x14ac:dyDescent="0.25"/>
    <row r="208" spans="3:18" ht="18.75" x14ac:dyDescent="0.3">
      <c r="C208" s="220" t="s">
        <v>137</v>
      </c>
      <c r="D208" s="220"/>
      <c r="E208" s="220"/>
      <c r="F208" s="220"/>
      <c r="G208" s="220"/>
      <c r="H208" s="220"/>
      <c r="I208" s="220"/>
      <c r="J208" s="220"/>
      <c r="K208" s="220"/>
      <c r="L208" s="220"/>
      <c r="M208" s="220"/>
      <c r="N208" s="220"/>
      <c r="O208" s="220"/>
      <c r="P208" s="220"/>
      <c r="Q208" s="220"/>
      <c r="R208" s="220"/>
    </row>
    <row r="209" spans="2:5" x14ac:dyDescent="0.25"/>
    <row r="210" spans="2:5" x14ac:dyDescent="0.25">
      <c r="C210" s="24" t="s">
        <v>138</v>
      </c>
    </row>
    <row r="211" spans="2:5" x14ac:dyDescent="0.25">
      <c r="C211" s="24" t="s">
        <v>139</v>
      </c>
    </row>
    <row r="212" spans="2:5" x14ac:dyDescent="0.25"/>
    <row r="213" spans="2:5" x14ac:dyDescent="0.25">
      <c r="C213" s="24" t="s">
        <v>238</v>
      </c>
    </row>
    <row r="214" spans="2:5" ht="61.5" x14ac:dyDescent="0.9">
      <c r="D214" s="166" t="s">
        <v>239</v>
      </c>
      <c r="E214" s="166" t="s">
        <v>240</v>
      </c>
    </row>
    <row r="215" spans="2:5" ht="28.5" x14ac:dyDescent="0.45">
      <c r="B215" s="223" t="s">
        <v>2</v>
      </c>
      <c r="C215" s="45" t="s">
        <v>149</v>
      </c>
      <c r="D215" s="163">
        <f t="shared" ref="D215:D230" si="31">$K$45*$S110</f>
        <v>1.0639737470328533E-2</v>
      </c>
      <c r="E215" s="165">
        <f t="shared" ref="E215:E230" si="32">S110</f>
        <v>6.3497440881568598E-2</v>
      </c>
    </row>
    <row r="216" spans="2:5" ht="28.5" x14ac:dyDescent="0.45">
      <c r="B216" s="223"/>
      <c r="C216" s="44" t="s">
        <v>140</v>
      </c>
      <c r="D216" s="163">
        <f t="shared" si="31"/>
        <v>2.0950814175297292E-2</v>
      </c>
      <c r="E216" s="165">
        <f t="shared" si="32"/>
        <v>0.12503345014165954</v>
      </c>
    </row>
    <row r="217" spans="2:5" ht="32.25" customHeight="1" x14ac:dyDescent="0.45">
      <c r="B217" s="223"/>
      <c r="C217" s="44" t="s">
        <v>35</v>
      </c>
      <c r="D217" s="163">
        <f t="shared" si="31"/>
        <v>9.2761971045368184E-3</v>
      </c>
      <c r="E217" s="165">
        <f t="shared" si="32"/>
        <v>5.5359897637861262E-2</v>
      </c>
    </row>
    <row r="218" spans="2:5" ht="63" customHeight="1" x14ac:dyDescent="0.45">
      <c r="B218" s="223"/>
      <c r="C218" s="44" t="s">
        <v>141</v>
      </c>
      <c r="D218" s="163">
        <f t="shared" si="31"/>
        <v>3.1235629194597769E-2</v>
      </c>
      <c r="E218" s="165">
        <f t="shared" si="32"/>
        <v>0.18641273092627608</v>
      </c>
    </row>
    <row r="219" spans="2:5" ht="60.75" customHeight="1" x14ac:dyDescent="0.45">
      <c r="B219" s="223"/>
      <c r="C219" s="44" t="s">
        <v>142</v>
      </c>
      <c r="D219" s="163">
        <f t="shared" si="31"/>
        <v>1.5341480562551877E-3</v>
      </c>
      <c r="E219" s="165">
        <f t="shared" si="32"/>
        <v>9.1557217250238417E-3</v>
      </c>
    </row>
    <row r="220" spans="2:5" ht="28.5" x14ac:dyDescent="0.45">
      <c r="B220" s="223"/>
      <c r="C220" s="44" t="s">
        <v>38</v>
      </c>
      <c r="D220" s="163">
        <f t="shared" si="31"/>
        <v>3.8452134504712598E-3</v>
      </c>
      <c r="E220" s="165">
        <f t="shared" si="32"/>
        <v>2.2948048711654165E-2</v>
      </c>
    </row>
    <row r="221" spans="2:5" ht="50.25" customHeight="1" x14ac:dyDescent="0.45">
      <c r="B221" s="223"/>
      <c r="C221" s="73" t="s">
        <v>39</v>
      </c>
      <c r="D221" s="163">
        <f t="shared" si="31"/>
        <v>1.643891488405275E-2</v>
      </c>
      <c r="E221" s="165">
        <f t="shared" si="32"/>
        <v>9.8106652435574274E-2</v>
      </c>
    </row>
    <row r="222" spans="2:5" ht="28.5" x14ac:dyDescent="0.45">
      <c r="B222" s="223"/>
      <c r="C222" s="45" t="s">
        <v>40</v>
      </c>
      <c r="D222" s="163">
        <f t="shared" si="31"/>
        <v>1.0606666038823282E-2</v>
      </c>
      <c r="E222" s="165">
        <f t="shared" si="32"/>
        <v>6.3300072170852789E-2</v>
      </c>
    </row>
    <row r="223" spans="2:5" ht="28.5" x14ac:dyDescent="0.45">
      <c r="B223" s="223"/>
      <c r="C223" s="44" t="s">
        <v>41</v>
      </c>
      <c r="D223" s="163">
        <f t="shared" si="31"/>
        <v>7.4239137358017892E-3</v>
      </c>
      <c r="E223" s="165">
        <f t="shared" si="32"/>
        <v>4.430555968730903E-2</v>
      </c>
    </row>
    <row r="224" spans="2:5" ht="39.75" customHeight="1" x14ac:dyDescent="0.45">
      <c r="B224" s="223"/>
      <c r="C224" s="44" t="s">
        <v>143</v>
      </c>
      <c r="D224" s="163">
        <f t="shared" si="31"/>
        <v>3.3412649017087004E-3</v>
      </c>
      <c r="E224" s="165">
        <f t="shared" si="32"/>
        <v>1.9940508039561357E-2</v>
      </c>
    </row>
    <row r="225" spans="2:5" ht="32.25" customHeight="1" x14ac:dyDescent="0.45">
      <c r="B225" s="223"/>
      <c r="C225" s="44" t="s">
        <v>144</v>
      </c>
      <c r="D225" s="163">
        <f t="shared" si="31"/>
        <v>5.7923151549724378E-3</v>
      </c>
      <c r="E225" s="165">
        <f t="shared" si="32"/>
        <v>3.4568257924217319E-2</v>
      </c>
    </row>
    <row r="226" spans="2:5" ht="37.5" customHeight="1" x14ac:dyDescent="0.45">
      <c r="B226" s="223"/>
      <c r="C226" s="44" t="s">
        <v>145</v>
      </c>
      <c r="D226" s="163">
        <f t="shared" si="31"/>
        <v>4.3956872459267327E-3</v>
      </c>
      <c r="E226" s="165">
        <f t="shared" si="32"/>
        <v>2.6233249815653521E-2</v>
      </c>
    </row>
    <row r="227" spans="2:5" ht="29.25" x14ac:dyDescent="0.45">
      <c r="B227" s="223"/>
      <c r="C227" s="73" t="s">
        <v>146</v>
      </c>
      <c r="D227" s="163">
        <f t="shared" si="31"/>
        <v>2.2135488683846644E-2</v>
      </c>
      <c r="E227" s="165">
        <f t="shared" si="32"/>
        <v>0.13210353056237417</v>
      </c>
    </row>
    <row r="228" spans="2:5" ht="29.25" x14ac:dyDescent="0.45">
      <c r="B228" s="223"/>
      <c r="C228" s="44" t="s">
        <v>147</v>
      </c>
      <c r="D228" s="163">
        <f t="shared" si="31"/>
        <v>7.1400210749889967E-3</v>
      </c>
      <c r="E228" s="165">
        <f t="shared" si="32"/>
        <v>4.2611301958023644E-2</v>
      </c>
    </row>
    <row r="229" spans="2:5" ht="61.5" customHeight="1" x14ac:dyDescent="0.45">
      <c r="B229" s="223"/>
      <c r="C229" s="44" t="s">
        <v>47</v>
      </c>
      <c r="D229" s="163">
        <f t="shared" si="31"/>
        <v>1.0628214512750409E-2</v>
      </c>
      <c r="E229" s="165">
        <f t="shared" si="32"/>
        <v>6.3428672425613911E-2</v>
      </c>
    </row>
    <row r="230" spans="2:5" ht="39.75" customHeight="1" x14ac:dyDescent="0.45">
      <c r="B230" s="223"/>
      <c r="C230" s="44" t="s">
        <v>148</v>
      </c>
      <c r="D230" s="163">
        <f t="shared" si="31"/>
        <v>2.1774480242416614E-3</v>
      </c>
      <c r="E230" s="165">
        <f t="shared" si="32"/>
        <v>1.2994904956776533E-2</v>
      </c>
    </row>
    <row r="231" spans="2:5" ht="28.5" x14ac:dyDescent="0.45">
      <c r="B231" s="224" t="s">
        <v>19</v>
      </c>
      <c r="C231" s="150" t="s">
        <v>125</v>
      </c>
      <c r="D231" s="163">
        <f>$K$46*$I151</f>
        <v>0.17846685370969284</v>
      </c>
      <c r="E231" s="165">
        <f>I151</f>
        <v>0.35910931174089072</v>
      </c>
    </row>
    <row r="232" spans="2:5" ht="50.25" customHeight="1" x14ac:dyDescent="0.45">
      <c r="B232" s="224"/>
      <c r="C232" s="150" t="s">
        <v>49</v>
      </c>
      <c r="D232" s="163">
        <f>$K$46*$I152</f>
        <v>3.8027322831039392E-2</v>
      </c>
      <c r="E232" s="165">
        <f>I152</f>
        <v>7.6518218623481779E-2</v>
      </c>
    </row>
    <row r="233" spans="2:5" ht="75" customHeight="1" x14ac:dyDescent="0.45">
      <c r="B233" s="224"/>
      <c r="C233" s="150" t="s">
        <v>50</v>
      </c>
      <c r="D233" s="163">
        <f>$K$46*$I153</f>
        <v>0.28047665622470325</v>
      </c>
      <c r="E233" s="165">
        <f>I153</f>
        <v>0.56437246963562748</v>
      </c>
    </row>
    <row r="234" spans="2:5" ht="28.5" x14ac:dyDescent="0.45">
      <c r="B234" s="225" t="s">
        <v>22</v>
      </c>
      <c r="C234" s="75" t="s">
        <v>127</v>
      </c>
      <c r="D234" s="164">
        <f t="shared" ref="D234:D239" si="33">$K$47*$O170</f>
        <v>7.5922683404497267E-3</v>
      </c>
      <c r="E234" s="162">
        <f t="shared" ref="E234:E239" si="34">O170</f>
        <v>7.820366813685195E-2</v>
      </c>
    </row>
    <row r="235" spans="2:5" ht="28.5" x14ac:dyDescent="0.45">
      <c r="B235" s="225"/>
      <c r="C235" s="151" t="s">
        <v>51</v>
      </c>
      <c r="D235" s="164">
        <f t="shared" si="33"/>
        <v>2.477673938869274E-2</v>
      </c>
      <c r="E235" s="162">
        <f t="shared" si="34"/>
        <v>0.2552111987853975</v>
      </c>
    </row>
    <row r="236" spans="2:5" ht="28.5" x14ac:dyDescent="0.45">
      <c r="B236" s="225"/>
      <c r="C236" s="151" t="s">
        <v>241</v>
      </c>
      <c r="D236" s="164">
        <f t="shared" si="33"/>
        <v>8.8833648665968754E-3</v>
      </c>
      <c r="E236" s="162">
        <f t="shared" si="34"/>
        <v>9.1502524254136283E-2</v>
      </c>
    </row>
    <row r="237" spans="2:5" ht="28.5" x14ac:dyDescent="0.45">
      <c r="B237" s="225"/>
      <c r="C237" s="75" t="s">
        <v>52</v>
      </c>
      <c r="D237" s="164">
        <f t="shared" si="33"/>
        <v>3.5900909838227565E-2</v>
      </c>
      <c r="E237" s="162">
        <f t="shared" si="34"/>
        <v>0.36979499576453129</v>
      </c>
    </row>
    <row r="238" spans="2:5" ht="28.5" x14ac:dyDescent="0.45">
      <c r="B238" s="225"/>
      <c r="C238" s="75" t="s">
        <v>53</v>
      </c>
      <c r="D238" s="164">
        <f t="shared" si="33"/>
        <v>3.4633983056458146E-3</v>
      </c>
      <c r="E238" s="162">
        <f t="shared" si="34"/>
        <v>3.5674509853324918E-2</v>
      </c>
    </row>
    <row r="239" spans="2:5" ht="28.5" x14ac:dyDescent="0.45">
      <c r="B239" s="225"/>
      <c r="C239" s="75" t="s">
        <v>129</v>
      </c>
      <c r="D239" s="164">
        <f t="shared" si="33"/>
        <v>1.6466595803933691E-2</v>
      </c>
      <c r="E239" s="162">
        <f t="shared" si="34"/>
        <v>0.16961310320575809</v>
      </c>
    </row>
    <row r="240" spans="2:5" ht="31.5" customHeight="1" x14ac:dyDescent="0.45">
      <c r="B240" s="226" t="s">
        <v>29</v>
      </c>
      <c r="C240" s="77" t="s">
        <v>54</v>
      </c>
      <c r="D240" s="163">
        <f>$K$48*$J192</f>
        <v>0.15337375179832982</v>
      </c>
      <c r="E240" s="162">
        <f>J192</f>
        <v>0.64338886919532079</v>
      </c>
    </row>
    <row r="241" spans="2:5" ht="50.25" customHeight="1" x14ac:dyDescent="0.45">
      <c r="B241" s="226"/>
      <c r="C241" s="77" t="s">
        <v>55</v>
      </c>
      <c r="D241" s="163">
        <f>$K$48*$J193</f>
        <v>6.7424359452941937E-2</v>
      </c>
      <c r="E241" s="162">
        <f>J193</f>
        <v>0.28283902477450867</v>
      </c>
    </row>
    <row r="242" spans="2:5" ht="28.5" x14ac:dyDescent="0.45">
      <c r="B242" s="226"/>
      <c r="C242" s="77" t="s">
        <v>56</v>
      </c>
      <c r="D242" s="163">
        <f>$K$48*$J194</f>
        <v>1.7586105731146114E-2</v>
      </c>
      <c r="E242" s="162">
        <f>J194</f>
        <v>7.3772106030170551E-2</v>
      </c>
    </row>
    <row r="243" spans="2:5" x14ac:dyDescent="0.25"/>
    <row r="244" spans="2:5" x14ac:dyDescent="0.25"/>
    <row r="245" spans="2:5" x14ac:dyDescent="0.25"/>
  </sheetData>
  <sheetProtection algorithmName="SHA-512" hashValue="p2rzveZ0wOTrslUni/ZDifEBMJPgCXJVzSx4LH+vgBnRLsAXUZknzNXazPXEM7PCU0LGpQjUDt8vIi9udlV4bw==" saltValue="dsNpascT5tG7roLY1x7A7w==" spinCount="100000" sheet="1" objects="1" scenarios="1"/>
  <mergeCells count="54">
    <mergeCell ref="G44:J44"/>
    <mergeCell ref="G25:L25"/>
    <mergeCell ref="C55:K55"/>
    <mergeCell ref="B215:B230"/>
    <mergeCell ref="B231:B233"/>
    <mergeCell ref="B234:B239"/>
    <mergeCell ref="B240:B242"/>
    <mergeCell ref="C149:R149"/>
    <mergeCell ref="F150:H150"/>
    <mergeCell ref="E159:F160"/>
    <mergeCell ref="C56:K56"/>
    <mergeCell ref="J67:K68"/>
    <mergeCell ref="E202:F203"/>
    <mergeCell ref="E204:F205"/>
    <mergeCell ref="E161:F162"/>
    <mergeCell ref="J74:K75"/>
    <mergeCell ref="J79:K80"/>
    <mergeCell ref="C109:R109"/>
    <mergeCell ref="C3:P3"/>
    <mergeCell ref="C4:P10"/>
    <mergeCell ref="C18:P18"/>
    <mergeCell ref="C19:F19"/>
    <mergeCell ref="C20:F20"/>
    <mergeCell ref="M19:P19"/>
    <mergeCell ref="G20:L20"/>
    <mergeCell ref="M20:P20"/>
    <mergeCell ref="C21:F21"/>
    <mergeCell ref="C22:F22"/>
    <mergeCell ref="M24:P24"/>
    <mergeCell ref="M25:P25"/>
    <mergeCell ref="C25:F25"/>
    <mergeCell ref="C23:F23"/>
    <mergeCell ref="C24:F24"/>
    <mergeCell ref="G21:L21"/>
    <mergeCell ref="G22:L22"/>
    <mergeCell ref="G23:L23"/>
    <mergeCell ref="G24:L24"/>
    <mergeCell ref="M21:P21"/>
    <mergeCell ref="M22:P22"/>
    <mergeCell ref="M23:P23"/>
    <mergeCell ref="J131:K132"/>
    <mergeCell ref="J133:K134"/>
    <mergeCell ref="J135:K136"/>
    <mergeCell ref="C86:R86"/>
    <mergeCell ref="C208:R208"/>
    <mergeCell ref="E163:F164"/>
    <mergeCell ref="I169:N169"/>
    <mergeCell ref="C168:R168"/>
    <mergeCell ref="H181:I182"/>
    <mergeCell ref="H183:I184"/>
    <mergeCell ref="H185:I186"/>
    <mergeCell ref="G191:I191"/>
    <mergeCell ref="C190:R190"/>
    <mergeCell ref="E200:F201"/>
  </mergeCells>
  <conditionalFormatting sqref="C170 D171 E172 F173 G174 H175">
    <cfRule type="cellIs" priority="7" operator="equal">
      <formula>1</formula>
    </cfRule>
  </conditionalFormatting>
  <conditionalFormatting sqref="D192 E193 F194">
    <cfRule type="cellIs" priority="3" operator="equal">
      <formula>1</formula>
    </cfRule>
  </conditionalFormatting>
  <conditionalFormatting sqref="H164">
    <cfRule type="cellIs" dxfId="17" priority="9" operator="greaterThan">
      <formula>0.1</formula>
    </cfRule>
    <cfRule type="cellIs" dxfId="16" priority="10" operator="lessThanOrEqual">
      <formula>0.1</formula>
    </cfRule>
  </conditionalFormatting>
  <conditionalFormatting sqref="H205:H206">
    <cfRule type="cellIs" dxfId="15" priority="1" operator="greaterThan">
      <formula>0.1</formula>
    </cfRule>
    <cfRule type="cellIs" dxfId="14" priority="2" operator="lessThanOrEqual">
      <formula>0.1</formula>
    </cfRule>
  </conditionalFormatting>
  <conditionalFormatting sqref="I151:I153">
    <cfRule type="colorScale" priority="11">
      <colorScale>
        <cfvo type="min"/>
        <cfvo type="percentile" val="50"/>
        <cfvo type="max"/>
        <color rgb="FFF8696B"/>
        <color rgb="FFFFEB84"/>
        <color rgb="FF63BE7B"/>
      </colorScale>
    </cfRule>
  </conditionalFormatting>
  <conditionalFormatting sqref="J192:J194">
    <cfRule type="colorScale" priority="4">
      <colorScale>
        <cfvo type="min"/>
        <cfvo type="percentile" val="50"/>
        <cfvo type="max"/>
        <color rgb="FFF8696B"/>
        <color rgb="FFFFEB84"/>
        <color rgb="FF63BE7B"/>
      </colorScale>
    </cfRule>
  </conditionalFormatting>
  <conditionalFormatting sqref="K45:K48">
    <cfRule type="colorScale" priority="17">
      <colorScale>
        <cfvo type="min"/>
        <cfvo type="percentile" val="50"/>
        <cfvo type="max"/>
        <color rgb="FFF8696B"/>
        <color rgb="FFFFEB84"/>
        <color rgb="FF63BE7B"/>
      </colorScale>
    </cfRule>
  </conditionalFormatting>
  <conditionalFormatting sqref="K186">
    <cfRule type="cellIs" dxfId="13" priority="5" operator="greaterThan">
      <formula>0.1</formula>
    </cfRule>
    <cfRule type="cellIs" dxfId="12" priority="6" operator="lessThanOrEqual">
      <formula>0.1</formula>
    </cfRule>
  </conditionalFormatting>
  <conditionalFormatting sqref="M80">
    <cfRule type="cellIs" dxfId="11" priority="15" operator="greaterThan">
      <formula>0.1</formula>
    </cfRule>
    <cfRule type="cellIs" dxfId="10" priority="16" operator="lessThanOrEqual">
      <formula>0.1</formula>
    </cfRule>
  </conditionalFormatting>
  <conditionalFormatting sqref="M136">
    <cfRule type="cellIs" dxfId="9" priority="12" operator="greaterThan">
      <formula>0.1</formula>
    </cfRule>
    <cfRule type="cellIs" dxfId="8" priority="13" operator="lessThanOrEqual">
      <formula>0.1</formula>
    </cfRule>
  </conditionalFormatting>
  <conditionalFormatting sqref="O170:O175">
    <cfRule type="colorScale" priority="8">
      <colorScale>
        <cfvo type="min"/>
        <cfvo type="percentile" val="50"/>
        <cfvo type="max"/>
        <color rgb="FFF8696B"/>
        <color rgb="FFFFEB84"/>
        <color rgb="FF63BE7B"/>
      </colorScale>
    </cfRule>
  </conditionalFormatting>
  <conditionalFormatting sqref="S110:S125">
    <cfRule type="colorScale" priority="14">
      <colorScale>
        <cfvo type="min"/>
        <cfvo type="percentile" val="50"/>
        <cfvo type="max"/>
        <color rgb="FFF8696B"/>
        <color rgb="FFFFEB84"/>
        <color rgb="FF63BE7B"/>
      </colorScale>
    </cfRule>
  </conditionalFormatting>
  <dataValidations count="1">
    <dataValidation type="whole" operator="equal" allowBlank="1" showInputMessage="1" showErrorMessage="1" sqref="C45 D46 E47 F48" xr:uid="{7F4F344F-830C-488F-85A5-1049157A47C2}">
      <formula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9D8C5-011D-4304-9A70-58CAD58BD300}">
  <dimension ref="K4:T34"/>
  <sheetViews>
    <sheetView tabSelected="1" topLeftCell="D1" zoomScale="94" zoomScaleNormal="94" workbookViewId="0">
      <selection activeCell="K40" sqref="K40"/>
    </sheetView>
  </sheetViews>
  <sheetFormatPr baseColWidth="10" defaultRowHeight="15" x14ac:dyDescent="0.25"/>
  <cols>
    <col min="1" max="10" width="11.42578125" style="1"/>
    <col min="11" max="20" width="41.28515625" style="1" customWidth="1"/>
    <col min="21" max="16384" width="11.42578125" style="1"/>
  </cols>
  <sheetData>
    <row r="4" spans="11:20" ht="15" customHeight="1" x14ac:dyDescent="0.25">
      <c r="K4" s="228" t="s">
        <v>245</v>
      </c>
      <c r="L4" s="228"/>
      <c r="M4" s="228"/>
      <c r="N4" s="228"/>
      <c r="O4" s="228"/>
      <c r="P4" s="228"/>
      <c r="Q4" s="228"/>
      <c r="R4" s="228"/>
      <c r="S4" s="228"/>
      <c r="T4" s="228"/>
    </row>
    <row r="5" spans="11:20" x14ac:dyDescent="0.25">
      <c r="K5" s="228"/>
      <c r="L5" s="228"/>
      <c r="M5" s="228"/>
      <c r="N5" s="228"/>
      <c r="O5" s="228"/>
      <c r="P5" s="228"/>
      <c r="Q5" s="228"/>
      <c r="R5" s="228"/>
      <c r="S5" s="228"/>
      <c r="T5" s="228"/>
    </row>
    <row r="6" spans="11:20" x14ac:dyDescent="0.25">
      <c r="K6" s="228"/>
      <c r="L6" s="228"/>
      <c r="M6" s="228"/>
      <c r="N6" s="228"/>
      <c r="O6" s="228"/>
      <c r="P6" s="228"/>
      <c r="Q6" s="228"/>
      <c r="R6" s="228"/>
      <c r="S6" s="228"/>
      <c r="T6" s="228"/>
    </row>
    <row r="7" spans="11:20" x14ac:dyDescent="0.25">
      <c r="K7" s="228"/>
      <c r="L7" s="228"/>
      <c r="M7" s="228"/>
      <c r="N7" s="228"/>
      <c r="O7" s="228"/>
      <c r="P7" s="228"/>
      <c r="Q7" s="228"/>
      <c r="R7" s="228"/>
      <c r="S7" s="228"/>
      <c r="T7" s="228"/>
    </row>
    <row r="8" spans="11:20" x14ac:dyDescent="0.25">
      <c r="K8" s="228"/>
      <c r="L8" s="228"/>
      <c r="M8" s="228"/>
      <c r="N8" s="228"/>
      <c r="O8" s="228"/>
      <c r="P8" s="228"/>
      <c r="Q8" s="228"/>
      <c r="R8" s="228"/>
      <c r="S8" s="228"/>
      <c r="T8" s="228"/>
    </row>
    <row r="9" spans="11:20" x14ac:dyDescent="0.25">
      <c r="K9" s="228"/>
      <c r="L9" s="228"/>
      <c r="M9" s="228"/>
      <c r="N9" s="228"/>
      <c r="O9" s="228"/>
      <c r="P9" s="228"/>
      <c r="Q9" s="228"/>
      <c r="R9" s="228"/>
      <c r="S9" s="228"/>
      <c r="T9" s="228"/>
    </row>
    <row r="10" spans="11:20" x14ac:dyDescent="0.25">
      <c r="K10" s="228"/>
      <c r="L10" s="228"/>
      <c r="M10" s="228"/>
      <c r="N10" s="228"/>
      <c r="O10" s="228"/>
      <c r="P10" s="228"/>
      <c r="Q10" s="228"/>
      <c r="R10" s="228"/>
      <c r="S10" s="228"/>
      <c r="T10" s="228"/>
    </row>
    <row r="11" spans="11:20" x14ac:dyDescent="0.25">
      <c r="K11" s="228"/>
      <c r="L11" s="228"/>
      <c r="M11" s="228"/>
      <c r="N11" s="228"/>
      <c r="O11" s="228"/>
      <c r="P11" s="228"/>
      <c r="Q11" s="228"/>
      <c r="R11" s="228"/>
      <c r="S11" s="228"/>
      <c r="T11" s="228"/>
    </row>
    <row r="12" spans="11:20" x14ac:dyDescent="0.25">
      <c r="K12" s="228"/>
      <c r="L12" s="228"/>
      <c r="M12" s="228"/>
      <c r="N12" s="228"/>
      <c r="O12" s="228"/>
      <c r="P12" s="228"/>
      <c r="Q12" s="228"/>
      <c r="R12" s="228"/>
      <c r="S12" s="228"/>
      <c r="T12" s="228"/>
    </row>
    <row r="13" spans="11:20" x14ac:dyDescent="0.25">
      <c r="K13" s="228"/>
      <c r="L13" s="228"/>
      <c r="M13" s="228"/>
      <c r="N13" s="228"/>
      <c r="O13" s="228"/>
      <c r="P13" s="228"/>
      <c r="Q13" s="228"/>
      <c r="R13" s="228"/>
      <c r="S13" s="228"/>
      <c r="T13" s="228"/>
    </row>
    <row r="14" spans="11:20" x14ac:dyDescent="0.25">
      <c r="K14" s="228"/>
      <c r="L14" s="228"/>
      <c r="M14" s="228"/>
      <c r="N14" s="228"/>
      <c r="O14" s="228"/>
      <c r="P14" s="228"/>
      <c r="Q14" s="228"/>
      <c r="R14" s="228"/>
      <c r="S14" s="228"/>
      <c r="T14" s="228"/>
    </row>
    <row r="15" spans="11:20" x14ac:dyDescent="0.25">
      <c r="K15" s="228"/>
      <c r="L15" s="228"/>
      <c r="M15" s="228"/>
      <c r="N15" s="228"/>
      <c r="O15" s="228"/>
      <c r="P15" s="228"/>
      <c r="Q15" s="228"/>
      <c r="R15" s="228"/>
      <c r="S15" s="228"/>
      <c r="T15" s="228"/>
    </row>
    <row r="16" spans="11:20" x14ac:dyDescent="0.25">
      <c r="K16" s="228"/>
      <c r="L16" s="228"/>
      <c r="M16" s="228"/>
      <c r="N16" s="228"/>
      <c r="O16" s="228"/>
      <c r="P16" s="228"/>
      <c r="Q16" s="228"/>
      <c r="R16" s="228"/>
      <c r="S16" s="228"/>
      <c r="T16" s="228"/>
    </row>
    <row r="17" spans="11:20" x14ac:dyDescent="0.25">
      <c r="K17" s="228"/>
      <c r="L17" s="228"/>
      <c r="M17" s="228"/>
      <c r="N17" s="228"/>
      <c r="O17" s="228"/>
      <c r="P17" s="228"/>
      <c r="Q17" s="228"/>
      <c r="R17" s="228"/>
      <c r="S17" s="228"/>
      <c r="T17" s="228"/>
    </row>
    <row r="18" spans="11:20" x14ac:dyDescent="0.25">
      <c r="K18" s="228"/>
      <c r="L18" s="228"/>
      <c r="M18" s="228"/>
      <c r="N18" s="228"/>
      <c r="O18" s="228"/>
      <c r="P18" s="228"/>
      <c r="Q18" s="228"/>
      <c r="R18" s="228"/>
      <c r="S18" s="228"/>
      <c r="T18" s="228"/>
    </row>
    <row r="19" spans="11:20" x14ac:dyDescent="0.25">
      <c r="K19" s="228"/>
      <c r="L19" s="228"/>
      <c r="M19" s="228"/>
      <c r="N19" s="228"/>
      <c r="O19" s="228"/>
      <c r="P19" s="228"/>
      <c r="Q19" s="228"/>
      <c r="R19" s="228"/>
      <c r="S19" s="228"/>
      <c r="T19" s="228"/>
    </row>
    <row r="20" spans="11:20" x14ac:dyDescent="0.25">
      <c r="K20" s="228"/>
      <c r="L20" s="228"/>
      <c r="M20" s="228"/>
      <c r="N20" s="228"/>
      <c r="O20" s="228"/>
      <c r="P20" s="228"/>
      <c r="Q20" s="228"/>
      <c r="R20" s="228"/>
      <c r="S20" s="228"/>
      <c r="T20" s="228"/>
    </row>
    <row r="21" spans="11:20" x14ac:dyDescent="0.25">
      <c r="K21" s="228"/>
      <c r="L21" s="228"/>
      <c r="M21" s="228"/>
      <c r="N21" s="228"/>
      <c r="O21" s="228"/>
      <c r="P21" s="228"/>
      <c r="Q21" s="228"/>
      <c r="R21" s="228"/>
      <c r="S21" s="228"/>
      <c r="T21" s="228"/>
    </row>
    <row r="22" spans="11:20" x14ac:dyDescent="0.25">
      <c r="K22" s="228"/>
      <c r="L22" s="228"/>
      <c r="M22" s="228"/>
      <c r="N22" s="228"/>
      <c r="O22" s="228"/>
      <c r="P22" s="228"/>
      <c r="Q22" s="228"/>
      <c r="R22" s="228"/>
      <c r="S22" s="228"/>
      <c r="T22" s="228"/>
    </row>
    <row r="23" spans="11:20" x14ac:dyDescent="0.25">
      <c r="K23" s="228"/>
      <c r="L23" s="228"/>
      <c r="M23" s="228"/>
      <c r="N23" s="228"/>
      <c r="O23" s="228"/>
      <c r="P23" s="228"/>
      <c r="Q23" s="228"/>
      <c r="R23" s="228"/>
      <c r="S23" s="228"/>
      <c r="T23" s="228"/>
    </row>
    <row r="24" spans="11:20" x14ac:dyDescent="0.25">
      <c r="K24" s="228"/>
      <c r="L24" s="228"/>
      <c r="M24" s="228"/>
      <c r="N24" s="228"/>
      <c r="O24" s="228"/>
      <c r="P24" s="228"/>
      <c r="Q24" s="228"/>
      <c r="R24" s="228"/>
      <c r="S24" s="228"/>
      <c r="T24" s="228"/>
    </row>
    <row r="25" spans="11:20" x14ac:dyDescent="0.25">
      <c r="K25" s="228"/>
      <c r="L25" s="228"/>
      <c r="M25" s="228"/>
      <c r="N25" s="228"/>
      <c r="O25" s="228"/>
      <c r="P25" s="228"/>
      <c r="Q25" s="228"/>
      <c r="R25" s="228"/>
      <c r="S25" s="228"/>
      <c r="T25" s="228"/>
    </row>
    <row r="26" spans="11:20" x14ac:dyDescent="0.25">
      <c r="K26" s="228"/>
      <c r="L26" s="228"/>
      <c r="M26" s="228"/>
      <c r="N26" s="228"/>
      <c r="O26" s="228"/>
      <c r="P26" s="228"/>
      <c r="Q26" s="228"/>
      <c r="R26" s="228"/>
      <c r="S26" s="228"/>
      <c r="T26" s="228"/>
    </row>
    <row r="27" spans="11:20" x14ac:dyDescent="0.25">
      <c r="K27" s="228"/>
      <c r="L27" s="228"/>
      <c r="M27" s="228"/>
      <c r="N27" s="228"/>
      <c r="O27" s="228"/>
      <c r="P27" s="228"/>
      <c r="Q27" s="228"/>
      <c r="R27" s="228"/>
      <c r="S27" s="228"/>
      <c r="T27" s="228"/>
    </row>
    <row r="28" spans="11:20" x14ac:dyDescent="0.25">
      <c r="K28" s="228"/>
      <c r="L28" s="228"/>
      <c r="M28" s="228"/>
      <c r="N28" s="228"/>
      <c r="O28" s="228"/>
      <c r="P28" s="228"/>
      <c r="Q28" s="228"/>
      <c r="R28" s="228"/>
      <c r="S28" s="228"/>
      <c r="T28" s="228"/>
    </row>
    <row r="29" spans="11:20" x14ac:dyDescent="0.25">
      <c r="K29" s="228"/>
      <c r="L29" s="228"/>
      <c r="M29" s="228"/>
      <c r="N29" s="228"/>
      <c r="O29" s="228"/>
      <c r="P29" s="228"/>
      <c r="Q29" s="228"/>
      <c r="R29" s="228"/>
      <c r="S29" s="228"/>
      <c r="T29" s="228"/>
    </row>
    <row r="30" spans="11:20" x14ac:dyDescent="0.25">
      <c r="K30" s="228"/>
      <c r="L30" s="228"/>
      <c r="M30" s="228"/>
      <c r="N30" s="228"/>
      <c r="O30" s="228"/>
      <c r="P30" s="228"/>
      <c r="Q30" s="228"/>
      <c r="R30" s="228"/>
      <c r="S30" s="228"/>
      <c r="T30" s="228"/>
    </row>
    <row r="31" spans="11:20" x14ac:dyDescent="0.25">
      <c r="K31" s="228"/>
      <c r="L31" s="228"/>
      <c r="M31" s="228"/>
      <c r="N31" s="228"/>
      <c r="O31" s="228"/>
      <c r="P31" s="228"/>
      <c r="Q31" s="228"/>
      <c r="R31" s="228"/>
      <c r="S31" s="228"/>
      <c r="T31" s="228"/>
    </row>
    <row r="32" spans="11:20" x14ac:dyDescent="0.25">
      <c r="K32" s="228"/>
      <c r="L32" s="228"/>
      <c r="M32" s="228"/>
      <c r="N32" s="228"/>
      <c r="O32" s="228"/>
      <c r="P32" s="228"/>
      <c r="Q32" s="228"/>
      <c r="R32" s="228"/>
      <c r="S32" s="228"/>
      <c r="T32" s="228"/>
    </row>
    <row r="33" spans="11:20" x14ac:dyDescent="0.25">
      <c r="K33" s="228"/>
      <c r="L33" s="228"/>
      <c r="M33" s="228"/>
      <c r="N33" s="228"/>
      <c r="O33" s="228"/>
      <c r="P33" s="228"/>
      <c r="Q33" s="228"/>
      <c r="R33" s="228"/>
      <c r="S33" s="228"/>
      <c r="T33" s="228"/>
    </row>
    <row r="34" spans="11:20" x14ac:dyDescent="0.25">
      <c r="K34" s="228"/>
      <c r="L34" s="228"/>
      <c r="M34" s="228"/>
      <c r="N34" s="228"/>
      <c r="O34" s="228"/>
      <c r="P34" s="228"/>
      <c r="Q34" s="228"/>
      <c r="R34" s="228"/>
      <c r="S34" s="228"/>
      <c r="T34" s="228"/>
    </row>
  </sheetData>
  <sheetProtection algorithmName="SHA-512" hashValue="wTOXfTG7w+YJgImYcBFCGjxdtuy6hdPKOqbUTPD2WuIQu94rfFVk8GrBjhPL+JM3L6S6gC795nyXUExLhQ6+ww==" saltValue="gpBhyvDBx9zf9E105UNHyw==" spinCount="100000" sheet="1" objects="1" scenarios="1"/>
  <mergeCells count="1">
    <mergeCell ref="K4:T3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0B93B-C200-4A7D-BB6B-8353620241E6}">
  <dimension ref="A2:A17"/>
  <sheetViews>
    <sheetView workbookViewId="0">
      <selection activeCell="H20" sqref="H20"/>
    </sheetView>
  </sheetViews>
  <sheetFormatPr baseColWidth="10" defaultRowHeight="15" x14ac:dyDescent="0.25"/>
  <sheetData>
    <row r="2" spans="1:1" x14ac:dyDescent="0.25">
      <c r="A2">
        <v>2</v>
      </c>
    </row>
    <row r="3" spans="1:1" x14ac:dyDescent="0.25">
      <c r="A3">
        <v>3</v>
      </c>
    </row>
    <row r="4" spans="1:1" x14ac:dyDescent="0.25">
      <c r="A4">
        <v>4</v>
      </c>
    </row>
    <row r="5" spans="1:1" x14ac:dyDescent="0.25">
      <c r="A5">
        <v>5</v>
      </c>
    </row>
    <row r="6" spans="1:1" x14ac:dyDescent="0.25">
      <c r="A6">
        <v>6</v>
      </c>
    </row>
    <row r="7" spans="1:1" x14ac:dyDescent="0.25">
      <c r="A7">
        <v>7</v>
      </c>
    </row>
    <row r="8" spans="1:1" x14ac:dyDescent="0.25">
      <c r="A8">
        <v>8</v>
      </c>
    </row>
    <row r="9" spans="1:1" x14ac:dyDescent="0.25">
      <c r="A9">
        <v>9</v>
      </c>
    </row>
    <row r="10" spans="1:1" x14ac:dyDescent="0.25">
      <c r="A10">
        <f>1/A2</f>
        <v>0.5</v>
      </c>
    </row>
    <row r="11" spans="1:1" x14ac:dyDescent="0.25">
      <c r="A11" s="148">
        <f t="shared" ref="A11:A14" si="0">1/A3</f>
        <v>0.33333333333333331</v>
      </c>
    </row>
    <row r="12" spans="1:1" x14ac:dyDescent="0.25">
      <c r="A12" s="148">
        <f t="shared" si="0"/>
        <v>0.25</v>
      </c>
    </row>
    <row r="13" spans="1:1" x14ac:dyDescent="0.25">
      <c r="A13" s="148">
        <f t="shared" si="0"/>
        <v>0.2</v>
      </c>
    </row>
    <row r="14" spans="1:1" x14ac:dyDescent="0.25">
      <c r="A14" s="148">
        <f t="shared" si="0"/>
        <v>0.16666666666666666</v>
      </c>
    </row>
    <row r="15" spans="1:1" x14ac:dyDescent="0.25">
      <c r="A15" s="148">
        <f>1/A7</f>
        <v>0.14285714285714285</v>
      </c>
    </row>
    <row r="16" spans="1:1" x14ac:dyDescent="0.25">
      <c r="A16" s="148">
        <f t="shared" ref="A16" si="1">1/A8</f>
        <v>0.125</v>
      </c>
    </row>
    <row r="17" spans="1:1" x14ac:dyDescent="0.25">
      <c r="A17" s="148">
        <f>1/A9</f>
        <v>0.1111111111111111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42DBD-FE4A-483F-93D4-679F0CFCDE31}">
  <dimension ref="A2:AD98"/>
  <sheetViews>
    <sheetView zoomScale="76" zoomScaleNormal="70" workbookViewId="0">
      <selection activeCell="E17" sqref="E17"/>
    </sheetView>
  </sheetViews>
  <sheetFormatPr baseColWidth="10" defaultColWidth="11.42578125" defaultRowHeight="15" x14ac:dyDescent="0.25"/>
  <cols>
    <col min="1" max="1" width="16.42578125" style="24" customWidth="1"/>
    <col min="2" max="2" width="15.7109375" style="24" customWidth="1"/>
    <col min="3" max="4" width="11.42578125" style="24"/>
    <col min="5" max="6" width="13.28515625" style="24" customWidth="1"/>
    <col min="7" max="14" width="11.42578125" style="24"/>
    <col min="15" max="15" width="12.85546875" style="24" customWidth="1"/>
    <col min="16" max="19" width="11.42578125" style="24"/>
    <col min="20" max="20" width="12.7109375" style="24" customWidth="1"/>
    <col min="21" max="28" width="11.42578125" style="24"/>
    <col min="29" max="29" width="12.140625" style="24" customWidth="1"/>
    <col min="30" max="30" width="13.5703125" style="24" customWidth="1"/>
    <col min="31" max="16384" width="11.42578125" style="24"/>
  </cols>
  <sheetData>
    <row r="2" spans="1:30" ht="15.75" thickBot="1" x14ac:dyDescent="0.3"/>
    <row r="3" spans="1:30" ht="33.75" customHeight="1" thickBot="1" x14ac:dyDescent="0.3">
      <c r="C3" s="170" t="s">
        <v>222</v>
      </c>
      <c r="D3" s="198"/>
      <c r="E3" s="198"/>
      <c r="F3" s="198"/>
      <c r="G3" s="198"/>
      <c r="H3" s="198"/>
      <c r="I3" s="198"/>
      <c r="J3" s="198"/>
      <c r="K3" s="198"/>
      <c r="L3" s="198"/>
      <c r="M3" s="198"/>
      <c r="N3" s="198"/>
      <c r="O3" s="198"/>
      <c r="P3" s="199"/>
    </row>
    <row r="4" spans="1:30" x14ac:dyDescent="0.25">
      <c r="C4" s="187" t="s">
        <v>192</v>
      </c>
      <c r="D4" s="200"/>
      <c r="E4" s="200"/>
      <c r="F4" s="200"/>
      <c r="G4" s="200"/>
      <c r="H4" s="200"/>
      <c r="I4" s="200"/>
      <c r="J4" s="200"/>
      <c r="K4" s="200"/>
      <c r="L4" s="200"/>
      <c r="M4" s="200"/>
      <c r="N4" s="200"/>
      <c r="O4" s="200"/>
      <c r="P4" s="201"/>
    </row>
    <row r="5" spans="1:30" x14ac:dyDescent="0.25">
      <c r="C5" s="202"/>
      <c r="D5" s="203"/>
      <c r="E5" s="203"/>
      <c r="F5" s="203"/>
      <c r="G5" s="203"/>
      <c r="H5" s="203"/>
      <c r="I5" s="203"/>
      <c r="J5" s="203"/>
      <c r="K5" s="203"/>
      <c r="L5" s="203"/>
      <c r="M5" s="203"/>
      <c r="N5" s="203"/>
      <c r="O5" s="203"/>
      <c r="P5" s="204"/>
    </row>
    <row r="6" spans="1:30" x14ac:dyDescent="0.25">
      <c r="C6" s="202"/>
      <c r="D6" s="203"/>
      <c r="E6" s="203"/>
      <c r="F6" s="203"/>
      <c r="G6" s="203"/>
      <c r="H6" s="203"/>
      <c r="I6" s="203"/>
      <c r="J6" s="203"/>
      <c r="K6" s="203"/>
      <c r="L6" s="203"/>
      <c r="M6" s="203"/>
      <c r="N6" s="203"/>
      <c r="O6" s="203"/>
      <c r="P6" s="204"/>
    </row>
    <row r="7" spans="1:30" x14ac:dyDescent="0.25">
      <c r="C7" s="202"/>
      <c r="D7" s="203"/>
      <c r="E7" s="203"/>
      <c r="F7" s="203"/>
      <c r="G7" s="203"/>
      <c r="H7" s="203"/>
      <c r="I7" s="203"/>
      <c r="J7" s="203"/>
      <c r="K7" s="203"/>
      <c r="L7" s="203"/>
      <c r="M7" s="203"/>
      <c r="N7" s="203"/>
      <c r="O7" s="203"/>
      <c r="P7" s="204"/>
    </row>
    <row r="8" spans="1:30" x14ac:dyDescent="0.25">
      <c r="C8" s="202"/>
      <c r="D8" s="203"/>
      <c r="E8" s="203"/>
      <c r="F8" s="203"/>
      <c r="G8" s="203"/>
      <c r="H8" s="203"/>
      <c r="I8" s="203"/>
      <c r="J8" s="203"/>
      <c r="K8" s="203"/>
      <c r="L8" s="203"/>
      <c r="M8" s="203"/>
      <c r="N8" s="203"/>
      <c r="O8" s="203"/>
      <c r="P8" s="204"/>
    </row>
    <row r="9" spans="1:30" x14ac:dyDescent="0.25">
      <c r="C9" s="202"/>
      <c r="D9" s="203"/>
      <c r="E9" s="203"/>
      <c r="F9" s="203"/>
      <c r="G9" s="203"/>
      <c r="H9" s="203"/>
      <c r="I9" s="203"/>
      <c r="J9" s="203"/>
      <c r="K9" s="203"/>
      <c r="L9" s="203"/>
      <c r="M9" s="203"/>
      <c r="N9" s="203"/>
      <c r="O9" s="203"/>
      <c r="P9" s="204"/>
    </row>
    <row r="10" spans="1:30" ht="15.75" thickBot="1" x14ac:dyDescent="0.3">
      <c r="C10" s="205"/>
      <c r="D10" s="206"/>
      <c r="E10" s="206"/>
      <c r="F10" s="206"/>
      <c r="G10" s="206"/>
      <c r="H10" s="206"/>
      <c r="I10" s="206"/>
      <c r="J10" s="206"/>
      <c r="K10" s="206"/>
      <c r="L10" s="206"/>
      <c r="M10" s="206"/>
      <c r="N10" s="206"/>
      <c r="O10" s="206"/>
      <c r="P10" s="207"/>
    </row>
    <row r="11" spans="1:30" ht="15.75" thickBot="1" x14ac:dyDescent="0.3"/>
    <row r="12" spans="1:30" ht="15.75" customHeight="1" thickBot="1" x14ac:dyDescent="0.3">
      <c r="C12" s="208" t="s">
        <v>228</v>
      </c>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row>
    <row r="13" spans="1:30" x14ac:dyDescent="0.25">
      <c r="A13" s="82"/>
      <c r="B13" s="229" t="s">
        <v>150</v>
      </c>
      <c r="C13" s="230" t="s">
        <v>118</v>
      </c>
      <c r="D13" s="230"/>
      <c r="E13" s="230"/>
      <c r="F13" s="230"/>
      <c r="G13" s="230"/>
      <c r="H13" s="230"/>
      <c r="I13" s="230"/>
      <c r="J13" s="230"/>
      <c r="K13" s="230"/>
      <c r="L13" s="230"/>
      <c r="M13" s="230"/>
      <c r="N13" s="230"/>
      <c r="O13" s="230"/>
      <c r="P13" s="230"/>
      <c r="Q13" s="230"/>
      <c r="R13" s="230"/>
      <c r="S13" s="231" t="s">
        <v>124</v>
      </c>
      <c r="T13" s="231"/>
      <c r="U13" s="231"/>
      <c r="V13" s="239" t="s">
        <v>90</v>
      </c>
      <c r="W13" s="239"/>
      <c r="X13" s="239"/>
      <c r="Y13" s="239"/>
      <c r="Z13" s="239"/>
      <c r="AA13" s="239"/>
      <c r="AB13" s="235" t="s">
        <v>134</v>
      </c>
      <c r="AC13" s="235"/>
      <c r="AD13" s="235"/>
    </row>
    <row r="14" spans="1:30" ht="90" x14ac:dyDescent="0.25">
      <c r="A14" s="82"/>
      <c r="B14" s="229"/>
      <c r="C14" s="83" t="s">
        <v>34</v>
      </c>
      <c r="D14" s="83" t="s">
        <v>151</v>
      </c>
      <c r="E14" s="83" t="s">
        <v>35</v>
      </c>
      <c r="F14" s="83" t="s">
        <v>141</v>
      </c>
      <c r="G14" s="83" t="s">
        <v>142</v>
      </c>
      <c r="H14" s="83" t="s">
        <v>38</v>
      </c>
      <c r="I14" s="83" t="s">
        <v>39</v>
      </c>
      <c r="J14" s="83" t="s">
        <v>40</v>
      </c>
      <c r="K14" s="83" t="s">
        <v>41</v>
      </c>
      <c r="L14" s="83" t="s">
        <v>143</v>
      </c>
      <c r="M14" s="83" t="s">
        <v>144</v>
      </c>
      <c r="N14" s="83" t="s">
        <v>145</v>
      </c>
      <c r="O14" s="83" t="s">
        <v>146</v>
      </c>
      <c r="P14" s="83" t="s">
        <v>147</v>
      </c>
      <c r="Q14" s="83" t="s">
        <v>47</v>
      </c>
      <c r="R14" s="83" t="s">
        <v>148</v>
      </c>
      <c r="S14" s="83" t="s">
        <v>125</v>
      </c>
      <c r="T14" s="83" t="s">
        <v>49</v>
      </c>
      <c r="U14" s="83" t="s">
        <v>50</v>
      </c>
      <c r="V14" s="83" t="s">
        <v>127</v>
      </c>
      <c r="W14" s="83" t="s">
        <v>51</v>
      </c>
      <c r="X14" s="83" t="s">
        <v>128</v>
      </c>
      <c r="Y14" s="83" t="s">
        <v>52</v>
      </c>
      <c r="Z14" s="83" t="s">
        <v>53</v>
      </c>
      <c r="AA14" s="83" t="s">
        <v>129</v>
      </c>
      <c r="AB14" s="83" t="s">
        <v>54</v>
      </c>
      <c r="AC14" s="83" t="s">
        <v>55</v>
      </c>
      <c r="AD14" s="83" t="s">
        <v>56</v>
      </c>
    </row>
    <row r="15" spans="1:30" ht="31.5" customHeight="1" x14ac:dyDescent="0.25">
      <c r="A15" s="82"/>
      <c r="B15" s="229"/>
      <c r="C15" s="84" t="s">
        <v>152</v>
      </c>
      <c r="D15" s="84" t="s">
        <v>153</v>
      </c>
      <c r="E15" s="84" t="s">
        <v>154</v>
      </c>
      <c r="F15" s="84" t="s">
        <v>155</v>
      </c>
      <c r="G15" s="84" t="s">
        <v>155</v>
      </c>
      <c r="H15" s="83" t="s">
        <v>156</v>
      </c>
      <c r="I15" s="83" t="s">
        <v>157</v>
      </c>
      <c r="J15" s="83" t="s">
        <v>158</v>
      </c>
      <c r="K15" s="83" t="s">
        <v>159</v>
      </c>
      <c r="L15" s="83" t="s">
        <v>160</v>
      </c>
      <c r="M15" s="83" t="s">
        <v>161</v>
      </c>
      <c r="N15" s="83" t="s">
        <v>162</v>
      </c>
      <c r="O15" s="83" t="s">
        <v>163</v>
      </c>
      <c r="P15" s="83" t="s">
        <v>164</v>
      </c>
      <c r="Q15" s="83" t="s">
        <v>165</v>
      </c>
      <c r="R15" s="83" t="s">
        <v>166</v>
      </c>
      <c r="S15" s="83" t="s">
        <v>167</v>
      </c>
      <c r="T15" s="83" t="s">
        <v>167</v>
      </c>
      <c r="U15" s="83" t="s">
        <v>181</v>
      </c>
      <c r="V15" s="83" t="s">
        <v>167</v>
      </c>
      <c r="W15" s="83" t="s">
        <v>167</v>
      </c>
      <c r="X15" s="83" t="s">
        <v>167</v>
      </c>
      <c r="Y15" s="84" t="s">
        <v>168</v>
      </c>
      <c r="Z15" s="83" t="s">
        <v>167</v>
      </c>
      <c r="AA15" s="84" t="s">
        <v>169</v>
      </c>
      <c r="AB15" s="83" t="s">
        <v>167</v>
      </c>
      <c r="AC15" s="83" t="s">
        <v>167</v>
      </c>
      <c r="AD15" s="83" t="s">
        <v>167</v>
      </c>
    </row>
    <row r="16" spans="1:30" ht="30" x14ac:dyDescent="0.25">
      <c r="A16" s="229" t="s">
        <v>170</v>
      </c>
      <c r="B16" s="85" t="s">
        <v>171</v>
      </c>
      <c r="C16" s="86">
        <v>50</v>
      </c>
      <c r="D16" s="86">
        <v>100</v>
      </c>
      <c r="E16" s="87">
        <v>0.3</v>
      </c>
      <c r="F16" s="88">
        <v>2E-3</v>
      </c>
      <c r="G16" s="88">
        <v>1E-3</v>
      </c>
      <c r="H16" s="86">
        <v>10</v>
      </c>
      <c r="I16" s="89">
        <v>5.0000000000000002E-5</v>
      </c>
      <c r="J16" s="88">
        <v>2E-3</v>
      </c>
      <c r="K16" s="90">
        <v>0.05</v>
      </c>
      <c r="L16" s="90">
        <v>0.08</v>
      </c>
      <c r="M16" s="90">
        <v>0.09</v>
      </c>
      <c r="N16" s="87">
        <v>0.1</v>
      </c>
      <c r="O16" s="87">
        <v>0.12</v>
      </c>
      <c r="P16" s="87">
        <v>0.04</v>
      </c>
      <c r="Q16" s="87">
        <v>0.3</v>
      </c>
      <c r="R16" s="86">
        <v>500</v>
      </c>
      <c r="S16" s="88" t="s">
        <v>172</v>
      </c>
      <c r="T16" s="88" t="s">
        <v>172</v>
      </c>
      <c r="U16" s="86">
        <v>7</v>
      </c>
      <c r="V16" s="88" t="s">
        <v>173</v>
      </c>
      <c r="W16" s="88" t="s">
        <v>174</v>
      </c>
      <c r="X16" s="88" t="s">
        <v>172</v>
      </c>
      <c r="Y16" s="88">
        <v>500</v>
      </c>
      <c r="Z16" s="88" t="s">
        <v>172</v>
      </c>
      <c r="AA16" s="88">
        <v>12</v>
      </c>
      <c r="AB16" s="88" t="s">
        <v>172</v>
      </c>
      <c r="AC16" s="88" t="s">
        <v>174</v>
      </c>
      <c r="AD16" s="88" t="s">
        <v>174</v>
      </c>
    </row>
    <row r="17" spans="1:30" ht="45" x14ac:dyDescent="0.25">
      <c r="A17" s="229"/>
      <c r="B17" s="85" t="s">
        <v>175</v>
      </c>
      <c r="C17" s="86">
        <v>60</v>
      </c>
      <c r="D17" s="86">
        <v>150</v>
      </c>
      <c r="E17" s="87">
        <v>0.4</v>
      </c>
      <c r="F17" s="88">
        <v>1.8E-3</v>
      </c>
      <c r="G17" s="88">
        <v>1.2999999999999999E-3</v>
      </c>
      <c r="H17" s="86">
        <v>9</v>
      </c>
      <c r="I17" s="89">
        <v>4.0000000000000003E-5</v>
      </c>
      <c r="J17" s="88">
        <v>1.8E-3</v>
      </c>
      <c r="K17" s="90">
        <v>4.4999999999999998E-2</v>
      </c>
      <c r="L17" s="90">
        <v>7.4999999999999997E-2</v>
      </c>
      <c r="M17" s="90">
        <v>8.5000000000000006E-2</v>
      </c>
      <c r="N17" s="87">
        <v>0.09</v>
      </c>
      <c r="O17" s="87">
        <v>0.11</v>
      </c>
      <c r="P17" s="87">
        <v>3.5000000000000003E-2</v>
      </c>
      <c r="Q17" s="87">
        <v>0.28000000000000003</v>
      </c>
      <c r="R17" s="86">
        <v>450</v>
      </c>
      <c r="S17" s="88" t="s">
        <v>176</v>
      </c>
      <c r="T17" s="88" t="s">
        <v>173</v>
      </c>
      <c r="U17" s="86">
        <v>2</v>
      </c>
      <c r="V17" s="88" t="s">
        <v>174</v>
      </c>
      <c r="W17" s="88" t="s">
        <v>172</v>
      </c>
      <c r="X17" s="88" t="s">
        <v>176</v>
      </c>
      <c r="Y17" s="88">
        <v>450</v>
      </c>
      <c r="Z17" s="88" t="s">
        <v>172</v>
      </c>
      <c r="AA17" s="88">
        <v>10</v>
      </c>
      <c r="AB17" s="88" t="s">
        <v>176</v>
      </c>
      <c r="AC17" s="88" t="s">
        <v>194</v>
      </c>
      <c r="AD17" s="88" t="s">
        <v>173</v>
      </c>
    </row>
    <row r="18" spans="1:30" ht="45" x14ac:dyDescent="0.25">
      <c r="A18" s="229"/>
      <c r="B18" s="85" t="s">
        <v>177</v>
      </c>
      <c r="C18" s="86">
        <v>55</v>
      </c>
      <c r="D18" s="86">
        <v>120</v>
      </c>
      <c r="E18" s="87">
        <v>0.35</v>
      </c>
      <c r="F18" s="88">
        <v>1.6999999999999999E-3</v>
      </c>
      <c r="G18" s="88">
        <v>1.1999999999999999E-3</v>
      </c>
      <c r="H18" s="86">
        <v>8</v>
      </c>
      <c r="I18" s="89">
        <v>3.0000000000000001E-5</v>
      </c>
      <c r="J18" s="88">
        <v>1.6000000000000001E-3</v>
      </c>
      <c r="K18" s="90">
        <v>0.04</v>
      </c>
      <c r="L18" s="90">
        <v>7.0000000000000007E-2</v>
      </c>
      <c r="M18" s="90">
        <v>0.08</v>
      </c>
      <c r="N18" s="87">
        <v>8.5000000000000006E-2</v>
      </c>
      <c r="O18" s="87">
        <v>0.1</v>
      </c>
      <c r="P18" s="87">
        <v>0.03</v>
      </c>
      <c r="Q18" s="87">
        <v>0.26</v>
      </c>
      <c r="R18" s="86">
        <v>400</v>
      </c>
      <c r="S18" s="88" t="s">
        <v>174</v>
      </c>
      <c r="T18" s="88" t="s">
        <v>173</v>
      </c>
      <c r="U18" s="86">
        <v>5</v>
      </c>
      <c r="V18" s="88" t="s">
        <v>173</v>
      </c>
      <c r="W18" s="88" t="s">
        <v>172</v>
      </c>
      <c r="X18" s="88" t="s">
        <v>173</v>
      </c>
      <c r="Y18" s="88">
        <v>400</v>
      </c>
      <c r="Z18" s="88" t="s">
        <v>173</v>
      </c>
      <c r="AA18" s="88">
        <v>8</v>
      </c>
      <c r="AB18" s="88" t="s">
        <v>174</v>
      </c>
      <c r="AC18" s="88" t="s">
        <v>173</v>
      </c>
      <c r="AD18" s="88" t="s">
        <v>173</v>
      </c>
    </row>
    <row r="19" spans="1:30" ht="45" x14ac:dyDescent="0.25">
      <c r="A19" s="229"/>
      <c r="B19" s="85" t="s">
        <v>182</v>
      </c>
      <c r="C19" s="86">
        <v>65</v>
      </c>
      <c r="D19" s="86">
        <v>200</v>
      </c>
      <c r="E19" s="87">
        <v>0.5</v>
      </c>
      <c r="F19" s="88">
        <v>1.9E-3</v>
      </c>
      <c r="G19" s="88">
        <v>1.4E-3</v>
      </c>
      <c r="H19" s="86">
        <v>11</v>
      </c>
      <c r="I19" s="89">
        <v>6.0000000000000002E-5</v>
      </c>
      <c r="J19" s="88">
        <v>2.0999999999999999E-3</v>
      </c>
      <c r="K19" s="90">
        <v>5.5E-2</v>
      </c>
      <c r="L19" s="90">
        <v>8.5000000000000006E-2</v>
      </c>
      <c r="M19" s="90">
        <v>9.5000000000000001E-2</v>
      </c>
      <c r="N19" s="87">
        <v>0.105</v>
      </c>
      <c r="O19" s="87">
        <v>0.13</v>
      </c>
      <c r="P19" s="87">
        <v>4.4999999999999998E-2</v>
      </c>
      <c r="Q19" s="87">
        <v>0.32</v>
      </c>
      <c r="R19" s="86">
        <v>550</v>
      </c>
      <c r="S19" s="88" t="s">
        <v>173</v>
      </c>
      <c r="T19" s="88" t="s">
        <v>176</v>
      </c>
      <c r="U19" s="86">
        <v>6</v>
      </c>
      <c r="V19" s="88" t="s">
        <v>173</v>
      </c>
      <c r="W19" s="88" t="s">
        <v>173</v>
      </c>
      <c r="X19" s="88" t="s">
        <v>173</v>
      </c>
      <c r="Y19" s="88">
        <v>550</v>
      </c>
      <c r="Z19" s="88" t="s">
        <v>173</v>
      </c>
      <c r="AA19" s="88">
        <v>14</v>
      </c>
      <c r="AB19" s="88" t="s">
        <v>176</v>
      </c>
      <c r="AC19" s="88" t="s">
        <v>173</v>
      </c>
      <c r="AD19" s="88" t="s">
        <v>176</v>
      </c>
    </row>
    <row r="20" spans="1:30" ht="50.25" customHeight="1" x14ac:dyDescent="0.25">
      <c r="A20" s="229"/>
      <c r="B20" s="85" t="s">
        <v>183</v>
      </c>
      <c r="C20" s="86">
        <v>58</v>
      </c>
      <c r="D20" s="86">
        <v>130</v>
      </c>
      <c r="E20" s="87">
        <v>0.37</v>
      </c>
      <c r="F20" s="88">
        <v>1.8500000000000001E-3</v>
      </c>
      <c r="G20" s="88">
        <v>1.3500000000000001E-3</v>
      </c>
      <c r="H20" s="86">
        <v>9.5</v>
      </c>
      <c r="I20" s="89">
        <v>4.5000000000000003E-5</v>
      </c>
      <c r="J20" s="88">
        <v>1.9E-3</v>
      </c>
      <c r="K20" s="90">
        <v>4.7500000000000001E-2</v>
      </c>
      <c r="L20" s="90">
        <v>7.7499999999999999E-2</v>
      </c>
      <c r="M20" s="90">
        <v>8.2500000000000004E-2</v>
      </c>
      <c r="N20" s="87">
        <v>9.2499999999999999E-2</v>
      </c>
      <c r="O20" s="87">
        <v>0.115</v>
      </c>
      <c r="P20" s="87">
        <v>3.7499999999999999E-2</v>
      </c>
      <c r="Q20" s="87">
        <v>0.27500000000000002</v>
      </c>
      <c r="R20" s="86">
        <v>425</v>
      </c>
      <c r="S20" s="88" t="s">
        <v>173</v>
      </c>
      <c r="T20" s="88" t="s">
        <v>176</v>
      </c>
      <c r="U20" s="86">
        <v>7</v>
      </c>
      <c r="V20" s="88" t="s">
        <v>173</v>
      </c>
      <c r="W20" s="88" t="s">
        <v>173</v>
      </c>
      <c r="X20" s="88" t="s">
        <v>173</v>
      </c>
      <c r="Y20" s="88">
        <v>425</v>
      </c>
      <c r="Z20" s="88" t="s">
        <v>173</v>
      </c>
      <c r="AA20" s="88">
        <v>9</v>
      </c>
      <c r="AB20" s="88" t="s">
        <v>173</v>
      </c>
      <c r="AC20" s="88" t="s">
        <v>173</v>
      </c>
      <c r="AD20" s="88" t="s">
        <v>173</v>
      </c>
    </row>
    <row r="21" spans="1:30" x14ac:dyDescent="0.25">
      <c r="A21" s="84" t="s">
        <v>178</v>
      </c>
      <c r="B21" s="91"/>
      <c r="C21" s="84" t="s">
        <v>179</v>
      </c>
      <c r="D21" s="84" t="s">
        <v>179</v>
      </c>
      <c r="E21" s="84" t="s">
        <v>179</v>
      </c>
      <c r="F21" s="84" t="s">
        <v>179</v>
      </c>
      <c r="G21" s="84" t="s">
        <v>179</v>
      </c>
      <c r="H21" s="84" t="s">
        <v>179</v>
      </c>
      <c r="I21" s="84" t="s">
        <v>179</v>
      </c>
      <c r="J21" s="84" t="s">
        <v>179</v>
      </c>
      <c r="K21" s="84" t="s">
        <v>179</v>
      </c>
      <c r="L21" s="84" t="s">
        <v>179</v>
      </c>
      <c r="M21" s="84" t="s">
        <v>179</v>
      </c>
      <c r="N21" s="84" t="s">
        <v>179</v>
      </c>
      <c r="O21" s="84" t="s">
        <v>179</v>
      </c>
      <c r="P21" s="84" t="s">
        <v>179</v>
      </c>
      <c r="Q21" s="84" t="s">
        <v>179</v>
      </c>
      <c r="R21" s="84" t="s">
        <v>179</v>
      </c>
      <c r="S21" s="84" t="s">
        <v>180</v>
      </c>
      <c r="T21" s="84" t="s">
        <v>180</v>
      </c>
      <c r="U21" s="84" t="s">
        <v>180</v>
      </c>
      <c r="V21" s="84" t="s">
        <v>180</v>
      </c>
      <c r="W21" s="84" t="s">
        <v>180</v>
      </c>
      <c r="X21" s="84" t="s">
        <v>180</v>
      </c>
      <c r="Y21" s="84" t="s">
        <v>179</v>
      </c>
      <c r="Z21" s="84" t="s">
        <v>180</v>
      </c>
      <c r="AA21" s="84" t="s">
        <v>179</v>
      </c>
      <c r="AB21" s="84" t="s">
        <v>180</v>
      </c>
      <c r="AC21" s="84" t="s">
        <v>180</v>
      </c>
      <c r="AD21" s="84" t="s">
        <v>179</v>
      </c>
    </row>
    <row r="22" spans="1:30" x14ac:dyDescent="0.25">
      <c r="A22" s="3"/>
      <c r="B22" s="30"/>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row>
    <row r="24" spans="1:30" x14ac:dyDescent="0.25">
      <c r="B24" s="24" t="s">
        <v>184</v>
      </c>
    </row>
    <row r="25" spans="1:30" x14ac:dyDescent="0.25">
      <c r="B25" s="30"/>
    </row>
    <row r="26" spans="1:30" x14ac:dyDescent="0.25">
      <c r="A26" s="3">
        <v>1</v>
      </c>
      <c r="B26" s="24" t="s">
        <v>185</v>
      </c>
    </row>
    <row r="27" spans="1:30" x14ac:dyDescent="0.25">
      <c r="A27" s="35" t="s">
        <v>107</v>
      </c>
      <c r="B27" s="24" t="s">
        <v>186</v>
      </c>
    </row>
    <row r="28" spans="1:30" x14ac:dyDescent="0.25">
      <c r="A28" s="35" t="s">
        <v>107</v>
      </c>
      <c r="B28" s="24" t="s">
        <v>187</v>
      </c>
    </row>
    <row r="29" spans="1:30" x14ac:dyDescent="0.25">
      <c r="A29" s="35" t="s">
        <v>107</v>
      </c>
      <c r="B29" s="24" t="s">
        <v>188</v>
      </c>
    </row>
    <row r="31" spans="1:30" x14ac:dyDescent="0.25">
      <c r="B31" s="3" t="s">
        <v>189</v>
      </c>
    </row>
    <row r="32" spans="1:30" x14ac:dyDescent="0.25">
      <c r="E32" s="92" t="s">
        <v>190</v>
      </c>
      <c r="F32" s="92" t="s">
        <v>191</v>
      </c>
    </row>
    <row r="33" spans="1:30" x14ac:dyDescent="0.25">
      <c r="E33" s="31" t="s">
        <v>172</v>
      </c>
      <c r="F33" s="31">
        <v>1</v>
      </c>
    </row>
    <row r="34" spans="1:30" x14ac:dyDescent="0.25">
      <c r="E34" s="31" t="s">
        <v>174</v>
      </c>
      <c r="F34" s="31">
        <v>0.75</v>
      </c>
    </row>
    <row r="35" spans="1:30" x14ac:dyDescent="0.25">
      <c r="E35" s="31" t="s">
        <v>173</v>
      </c>
      <c r="F35" s="31">
        <v>0.5</v>
      </c>
    </row>
    <row r="36" spans="1:30" x14ac:dyDescent="0.25">
      <c r="E36" s="31" t="s">
        <v>193</v>
      </c>
      <c r="F36" s="31">
        <v>0.25</v>
      </c>
    </row>
    <row r="37" spans="1:30" x14ac:dyDescent="0.25">
      <c r="E37" s="31" t="s">
        <v>194</v>
      </c>
      <c r="F37" s="31">
        <v>0</v>
      </c>
    </row>
    <row r="39" spans="1:30" x14ac:dyDescent="0.25">
      <c r="A39" s="82"/>
      <c r="B39" s="229" t="s">
        <v>150</v>
      </c>
      <c r="C39" s="236" t="s">
        <v>118</v>
      </c>
      <c r="D39" s="236"/>
      <c r="E39" s="236"/>
      <c r="F39" s="236"/>
      <c r="G39" s="236"/>
      <c r="H39" s="236"/>
      <c r="I39" s="236"/>
      <c r="J39" s="236"/>
      <c r="K39" s="236"/>
      <c r="L39" s="236"/>
      <c r="M39" s="236"/>
      <c r="N39" s="236"/>
      <c r="O39" s="236"/>
      <c r="P39" s="236"/>
      <c r="Q39" s="236"/>
      <c r="R39" s="236"/>
      <c r="S39" s="237" t="s">
        <v>124</v>
      </c>
      <c r="T39" s="237"/>
      <c r="U39" s="237"/>
      <c r="V39" s="238" t="s">
        <v>90</v>
      </c>
      <c r="W39" s="238"/>
      <c r="X39" s="238"/>
      <c r="Y39" s="238"/>
      <c r="Z39" s="238"/>
      <c r="AA39" s="238"/>
      <c r="AB39" s="234" t="s">
        <v>134</v>
      </c>
      <c r="AC39" s="234"/>
      <c r="AD39" s="234"/>
    </row>
    <row r="40" spans="1:30" ht="90" x14ac:dyDescent="0.25">
      <c r="A40" s="82"/>
      <c r="B40" s="229"/>
      <c r="C40" s="83" t="s">
        <v>34</v>
      </c>
      <c r="D40" s="83" t="s">
        <v>151</v>
      </c>
      <c r="E40" s="83" t="s">
        <v>35</v>
      </c>
      <c r="F40" s="83" t="s">
        <v>141</v>
      </c>
      <c r="G40" s="83" t="s">
        <v>142</v>
      </c>
      <c r="H40" s="83" t="s">
        <v>38</v>
      </c>
      <c r="I40" s="83" t="s">
        <v>39</v>
      </c>
      <c r="J40" s="83" t="s">
        <v>40</v>
      </c>
      <c r="K40" s="83" t="s">
        <v>41</v>
      </c>
      <c r="L40" s="83" t="s">
        <v>143</v>
      </c>
      <c r="M40" s="83" t="s">
        <v>144</v>
      </c>
      <c r="N40" s="83" t="s">
        <v>145</v>
      </c>
      <c r="O40" s="83" t="s">
        <v>146</v>
      </c>
      <c r="P40" s="83" t="s">
        <v>147</v>
      </c>
      <c r="Q40" s="83" t="s">
        <v>47</v>
      </c>
      <c r="R40" s="83" t="s">
        <v>148</v>
      </c>
      <c r="S40" s="83" t="s">
        <v>125</v>
      </c>
      <c r="T40" s="83" t="s">
        <v>49</v>
      </c>
      <c r="U40" s="83" t="s">
        <v>50</v>
      </c>
      <c r="V40" s="83" t="s">
        <v>127</v>
      </c>
      <c r="W40" s="83" t="s">
        <v>51</v>
      </c>
      <c r="X40" s="83" t="s">
        <v>128</v>
      </c>
      <c r="Y40" s="83" t="s">
        <v>52</v>
      </c>
      <c r="Z40" s="83" t="s">
        <v>53</v>
      </c>
      <c r="AA40" s="83" t="s">
        <v>129</v>
      </c>
      <c r="AB40" s="83" t="s">
        <v>54</v>
      </c>
      <c r="AC40" s="83" t="s">
        <v>55</v>
      </c>
      <c r="AD40" s="83" t="s">
        <v>56</v>
      </c>
    </row>
    <row r="41" spans="1:30" ht="31.5" customHeight="1" x14ac:dyDescent="0.25">
      <c r="A41" s="82"/>
      <c r="B41" s="229"/>
      <c r="C41" s="84" t="s">
        <v>152</v>
      </c>
      <c r="D41" s="84" t="s">
        <v>153</v>
      </c>
      <c r="E41" s="84" t="s">
        <v>154</v>
      </c>
      <c r="F41" s="84" t="s">
        <v>155</v>
      </c>
      <c r="G41" s="84" t="s">
        <v>155</v>
      </c>
      <c r="H41" s="83" t="s">
        <v>156</v>
      </c>
      <c r="I41" s="83" t="s">
        <v>157</v>
      </c>
      <c r="J41" s="83" t="s">
        <v>158</v>
      </c>
      <c r="K41" s="83" t="s">
        <v>159</v>
      </c>
      <c r="L41" s="83" t="s">
        <v>160</v>
      </c>
      <c r="M41" s="83" t="s">
        <v>161</v>
      </c>
      <c r="N41" s="83" t="s">
        <v>162</v>
      </c>
      <c r="O41" s="83" t="s">
        <v>163</v>
      </c>
      <c r="P41" s="83" t="s">
        <v>164</v>
      </c>
      <c r="Q41" s="83" t="s">
        <v>165</v>
      </c>
      <c r="R41" s="83" t="s">
        <v>166</v>
      </c>
      <c r="S41" s="83" t="s">
        <v>167</v>
      </c>
      <c r="T41" s="83" t="s">
        <v>167</v>
      </c>
      <c r="U41" s="83" t="s">
        <v>181</v>
      </c>
      <c r="V41" s="83" t="s">
        <v>167</v>
      </c>
      <c r="W41" s="83" t="s">
        <v>167</v>
      </c>
      <c r="X41" s="83" t="s">
        <v>167</v>
      </c>
      <c r="Y41" s="84" t="s">
        <v>168</v>
      </c>
      <c r="Z41" s="83" t="s">
        <v>167</v>
      </c>
      <c r="AA41" s="84" t="s">
        <v>169</v>
      </c>
      <c r="AB41" s="83" t="s">
        <v>167</v>
      </c>
      <c r="AC41" s="83" t="s">
        <v>167</v>
      </c>
      <c r="AD41" s="83" t="s">
        <v>167</v>
      </c>
    </row>
    <row r="42" spans="1:30" ht="30" x14ac:dyDescent="0.25">
      <c r="A42" s="229" t="s">
        <v>170</v>
      </c>
      <c r="B42" s="85" t="s">
        <v>171</v>
      </c>
      <c r="C42" s="93">
        <f>C16*-1</f>
        <v>-50</v>
      </c>
      <c r="D42" s="93">
        <f>D16*-1</f>
        <v>-100</v>
      </c>
      <c r="E42" s="94">
        <f>E16*-1</f>
        <v>-0.3</v>
      </c>
      <c r="F42" s="95">
        <f t="shared" ref="F42:R42" si="0">F16*-1</f>
        <v>-2E-3</v>
      </c>
      <c r="G42" s="95">
        <f t="shared" si="0"/>
        <v>-1E-3</v>
      </c>
      <c r="H42" s="97">
        <f t="shared" si="0"/>
        <v>-10</v>
      </c>
      <c r="I42" s="98">
        <f t="shared" si="0"/>
        <v>-5.0000000000000002E-5</v>
      </c>
      <c r="J42" s="96">
        <f t="shared" si="0"/>
        <v>-2E-3</v>
      </c>
      <c r="K42" s="94">
        <f t="shared" si="0"/>
        <v>-0.05</v>
      </c>
      <c r="L42" s="94">
        <f t="shared" si="0"/>
        <v>-0.08</v>
      </c>
      <c r="M42" s="96">
        <f t="shared" si="0"/>
        <v>-0.09</v>
      </c>
      <c r="N42" s="94">
        <f t="shared" si="0"/>
        <v>-0.1</v>
      </c>
      <c r="O42" s="99">
        <f t="shared" si="0"/>
        <v>-0.12</v>
      </c>
      <c r="P42" s="96">
        <f t="shared" si="0"/>
        <v>-0.04</v>
      </c>
      <c r="Q42" s="94">
        <f t="shared" si="0"/>
        <v>-0.3</v>
      </c>
      <c r="R42" s="93">
        <f t="shared" si="0"/>
        <v>-500</v>
      </c>
      <c r="S42" s="94">
        <f>IF(S16=$E$33,$F$33,IF(S16=$E$34,$F$34,IF(S16=$E$35,$F$35,IF(S16=$E$36,$F$36,$F$37))))</f>
        <v>1</v>
      </c>
      <c r="T42" s="94">
        <f>IF(T16=$E$33,$F$33,IF(T16=$E$34,$F$34,IF(T16=$E$35,$F$35,IF(T16=$E$36,$F$36,$F$37))))</f>
        <v>1</v>
      </c>
      <c r="U42" s="93">
        <v>4</v>
      </c>
      <c r="V42" s="94">
        <f>IF(V16=$E$33,$F$33,IF(V16=$E$34,$F$34,IF(V16=$E$35,$F$35,IF(V16=$E$36,$F$36,$F$37))))</f>
        <v>0.5</v>
      </c>
      <c r="W42" s="94">
        <f t="shared" ref="W42:AD42" si="1">IF(W16=$E$33,$F$33,IF(W16=$E$34,$F$34,IF(W16=$E$35,$F$35,IF(W16=$E$36,$F$36,$F$37))))</f>
        <v>0.75</v>
      </c>
      <c r="X42" s="94">
        <f t="shared" si="1"/>
        <v>1</v>
      </c>
      <c r="Y42" s="93">
        <v>500</v>
      </c>
      <c r="Z42" s="94">
        <f t="shared" si="1"/>
        <v>1</v>
      </c>
      <c r="AA42" s="93">
        <v>12</v>
      </c>
      <c r="AB42" s="94">
        <f t="shared" si="1"/>
        <v>1</v>
      </c>
      <c r="AC42" s="94">
        <f t="shared" si="1"/>
        <v>0.75</v>
      </c>
      <c r="AD42" s="94">
        <f t="shared" si="1"/>
        <v>0.75</v>
      </c>
    </row>
    <row r="43" spans="1:30" ht="45" x14ac:dyDescent="0.25">
      <c r="A43" s="229"/>
      <c r="B43" s="85" t="s">
        <v>175</v>
      </c>
      <c r="C43" s="93">
        <f t="shared" ref="C43:R43" si="2">C17*-1</f>
        <v>-60</v>
      </c>
      <c r="D43" s="93">
        <f t="shared" si="2"/>
        <v>-150</v>
      </c>
      <c r="E43" s="94">
        <f t="shared" si="2"/>
        <v>-0.4</v>
      </c>
      <c r="F43" s="95">
        <f t="shared" si="2"/>
        <v>-1.8E-3</v>
      </c>
      <c r="G43" s="95">
        <f t="shared" si="2"/>
        <v>-1.2999999999999999E-3</v>
      </c>
      <c r="H43" s="97">
        <f t="shared" si="2"/>
        <v>-9</v>
      </c>
      <c r="I43" s="98">
        <f t="shared" si="2"/>
        <v>-4.0000000000000003E-5</v>
      </c>
      <c r="J43" s="96">
        <f t="shared" si="2"/>
        <v>-1.8E-3</v>
      </c>
      <c r="K43" s="94">
        <f t="shared" si="2"/>
        <v>-4.4999999999999998E-2</v>
      </c>
      <c r="L43" s="94">
        <f t="shared" si="2"/>
        <v>-7.4999999999999997E-2</v>
      </c>
      <c r="M43" s="96">
        <f t="shared" si="2"/>
        <v>-8.5000000000000006E-2</v>
      </c>
      <c r="N43" s="94">
        <f t="shared" si="2"/>
        <v>-0.09</v>
      </c>
      <c r="O43" s="99">
        <f t="shared" si="2"/>
        <v>-0.11</v>
      </c>
      <c r="P43" s="96">
        <f t="shared" si="2"/>
        <v>-3.5000000000000003E-2</v>
      </c>
      <c r="Q43" s="94">
        <f t="shared" si="2"/>
        <v>-0.28000000000000003</v>
      </c>
      <c r="R43" s="93">
        <f t="shared" si="2"/>
        <v>-450</v>
      </c>
      <c r="S43" s="94">
        <f t="shared" ref="S43:T46" si="3">IF(S17=$E$33,$F$33,IF(S17=$E$34,$F$34,IF(S17=$E$35,$F$35,IF(S17=$E$36,$F$36,$F$37))))</f>
        <v>0.25</v>
      </c>
      <c r="T43" s="94">
        <f t="shared" si="3"/>
        <v>0.5</v>
      </c>
      <c r="U43" s="93">
        <v>9</v>
      </c>
      <c r="V43" s="94">
        <f t="shared" ref="V43:X43" si="4">IF(V17=$E$33,$F$33,IF(V17=$E$34,$F$34,IF(V17=$E$35,$F$35,IF(V17=$E$36,$F$36,$F$37))))</f>
        <v>0.75</v>
      </c>
      <c r="W43" s="94">
        <f t="shared" si="4"/>
        <v>1</v>
      </c>
      <c r="X43" s="94">
        <f t="shared" si="4"/>
        <v>0.25</v>
      </c>
      <c r="Y43" s="93">
        <v>450</v>
      </c>
      <c r="Z43" s="94">
        <f t="shared" ref="Z43" si="5">IF(Z17=$E$33,$F$33,IF(Z17=$E$34,$F$34,IF(Z17=$E$35,$F$35,IF(Z17=$E$36,$F$36,$F$37))))</f>
        <v>1</v>
      </c>
      <c r="AA43" s="93">
        <v>10</v>
      </c>
      <c r="AB43" s="94">
        <f t="shared" ref="AB43:AD43" si="6">IF(AB17=$E$33,$F$33,IF(AB17=$E$34,$F$34,IF(AB17=$E$35,$F$35,IF(AB17=$E$36,$F$36,$F$37))))</f>
        <v>0.25</v>
      </c>
      <c r="AC43" s="94">
        <f>IF(AC17=$E$33,$F$33,IF(AC17=$E$34,$F$34,IF(AC17=$E$35,$F$35,IF(AC17=$E$36,$F$36,$F$37))))</f>
        <v>0</v>
      </c>
      <c r="AD43" s="94">
        <f t="shared" si="6"/>
        <v>0.5</v>
      </c>
    </row>
    <row r="44" spans="1:30" ht="45" x14ac:dyDescent="0.25">
      <c r="A44" s="229"/>
      <c r="B44" s="85" t="s">
        <v>177</v>
      </c>
      <c r="C44" s="93">
        <f t="shared" ref="C44:R44" si="7">C18*-1</f>
        <v>-55</v>
      </c>
      <c r="D44" s="93">
        <f t="shared" si="7"/>
        <v>-120</v>
      </c>
      <c r="E44" s="94">
        <f t="shared" si="7"/>
        <v>-0.35</v>
      </c>
      <c r="F44" s="95">
        <f t="shared" si="7"/>
        <v>-1.6999999999999999E-3</v>
      </c>
      <c r="G44" s="95">
        <f t="shared" si="7"/>
        <v>-1.1999999999999999E-3</v>
      </c>
      <c r="H44" s="97">
        <f t="shared" si="7"/>
        <v>-8</v>
      </c>
      <c r="I44" s="98">
        <f t="shared" si="7"/>
        <v>-3.0000000000000001E-5</v>
      </c>
      <c r="J44" s="96">
        <f t="shared" si="7"/>
        <v>-1.6000000000000001E-3</v>
      </c>
      <c r="K44" s="94">
        <f t="shared" si="7"/>
        <v>-0.04</v>
      </c>
      <c r="L44" s="94">
        <f t="shared" si="7"/>
        <v>-7.0000000000000007E-2</v>
      </c>
      <c r="M44" s="96">
        <f t="shared" si="7"/>
        <v>-0.08</v>
      </c>
      <c r="N44" s="94">
        <f t="shared" si="7"/>
        <v>-8.5000000000000006E-2</v>
      </c>
      <c r="O44" s="99">
        <f t="shared" si="7"/>
        <v>-0.1</v>
      </c>
      <c r="P44" s="96">
        <f t="shared" si="7"/>
        <v>-0.03</v>
      </c>
      <c r="Q44" s="94">
        <f t="shared" si="7"/>
        <v>-0.26</v>
      </c>
      <c r="R44" s="93">
        <f t="shared" si="7"/>
        <v>-400</v>
      </c>
      <c r="S44" s="94">
        <f t="shared" si="3"/>
        <v>0.75</v>
      </c>
      <c r="T44" s="94">
        <f t="shared" si="3"/>
        <v>0.5</v>
      </c>
      <c r="U44" s="93">
        <v>5</v>
      </c>
      <c r="V44" s="94">
        <f t="shared" ref="V44:X44" si="8">IF(V18=$E$33,$F$33,IF(V18=$E$34,$F$34,IF(V18=$E$35,$F$35,IF(V18=$E$36,$F$36,$F$37))))</f>
        <v>0.5</v>
      </c>
      <c r="W44" s="94">
        <f t="shared" si="8"/>
        <v>1</v>
      </c>
      <c r="X44" s="94">
        <f t="shared" si="8"/>
        <v>0.5</v>
      </c>
      <c r="Y44" s="93">
        <v>400</v>
      </c>
      <c r="Z44" s="94">
        <f t="shared" ref="Z44" si="9">IF(Z18=$E$33,$F$33,IF(Z18=$E$34,$F$34,IF(Z18=$E$35,$F$35,IF(Z18=$E$36,$F$36,$F$37))))</f>
        <v>0.5</v>
      </c>
      <c r="AA44" s="93">
        <v>8</v>
      </c>
      <c r="AB44" s="94">
        <f t="shared" ref="AB44:AD44" si="10">IF(AB18=$E$33,$F$33,IF(AB18=$E$34,$F$34,IF(AB18=$E$35,$F$35,IF(AB18=$E$36,$F$36,$F$37))))</f>
        <v>0.75</v>
      </c>
      <c r="AC44" s="94">
        <f t="shared" si="10"/>
        <v>0.5</v>
      </c>
      <c r="AD44" s="94">
        <f t="shared" si="10"/>
        <v>0.5</v>
      </c>
    </row>
    <row r="45" spans="1:30" ht="45" x14ac:dyDescent="0.25">
      <c r="A45" s="229"/>
      <c r="B45" s="85" t="s">
        <v>182</v>
      </c>
      <c r="C45" s="93">
        <f t="shared" ref="C45:R45" si="11">C19*-1</f>
        <v>-65</v>
      </c>
      <c r="D45" s="93">
        <f t="shared" si="11"/>
        <v>-200</v>
      </c>
      <c r="E45" s="94">
        <f t="shared" si="11"/>
        <v>-0.5</v>
      </c>
      <c r="F45" s="95">
        <f t="shared" si="11"/>
        <v>-1.9E-3</v>
      </c>
      <c r="G45" s="95">
        <f t="shared" si="11"/>
        <v>-1.4E-3</v>
      </c>
      <c r="H45" s="97">
        <f t="shared" si="11"/>
        <v>-11</v>
      </c>
      <c r="I45" s="98">
        <f t="shared" si="11"/>
        <v>-6.0000000000000002E-5</v>
      </c>
      <c r="J45" s="96">
        <f t="shared" si="11"/>
        <v>-2.0999999999999999E-3</v>
      </c>
      <c r="K45" s="94">
        <f t="shared" si="11"/>
        <v>-5.5E-2</v>
      </c>
      <c r="L45" s="94">
        <f t="shared" si="11"/>
        <v>-8.5000000000000006E-2</v>
      </c>
      <c r="M45" s="96">
        <f t="shared" si="11"/>
        <v>-9.5000000000000001E-2</v>
      </c>
      <c r="N45" s="94">
        <f t="shared" si="11"/>
        <v>-0.105</v>
      </c>
      <c r="O45" s="99">
        <f t="shared" si="11"/>
        <v>-0.13</v>
      </c>
      <c r="P45" s="96">
        <f t="shared" si="11"/>
        <v>-4.4999999999999998E-2</v>
      </c>
      <c r="Q45" s="94">
        <f t="shared" si="11"/>
        <v>-0.32</v>
      </c>
      <c r="R45" s="93">
        <f t="shared" si="11"/>
        <v>-550</v>
      </c>
      <c r="S45" s="94">
        <f t="shared" si="3"/>
        <v>0.5</v>
      </c>
      <c r="T45" s="94">
        <f t="shared" si="3"/>
        <v>0.25</v>
      </c>
      <c r="U45" s="93">
        <v>6</v>
      </c>
      <c r="V45" s="94">
        <f t="shared" ref="V45:X45" si="12">IF(V19=$E$33,$F$33,IF(V19=$E$34,$F$34,IF(V19=$E$35,$F$35,IF(V19=$E$36,$F$36,$F$37))))</f>
        <v>0.5</v>
      </c>
      <c r="W45" s="94">
        <f t="shared" si="12"/>
        <v>0.5</v>
      </c>
      <c r="X45" s="94">
        <f t="shared" si="12"/>
        <v>0.5</v>
      </c>
      <c r="Y45" s="93">
        <v>550</v>
      </c>
      <c r="Z45" s="94">
        <f t="shared" ref="Z45" si="13">IF(Z19=$E$33,$F$33,IF(Z19=$E$34,$F$34,IF(Z19=$E$35,$F$35,IF(Z19=$E$36,$F$36,$F$37))))</f>
        <v>0.5</v>
      </c>
      <c r="AA45" s="93">
        <v>14</v>
      </c>
      <c r="AB45" s="94">
        <f t="shared" ref="AB45:AD45" si="14">IF(AB19=$E$33,$F$33,IF(AB19=$E$34,$F$34,IF(AB19=$E$35,$F$35,IF(AB19=$E$36,$F$36,$F$37))))</f>
        <v>0.25</v>
      </c>
      <c r="AC45" s="94">
        <f t="shared" si="14"/>
        <v>0.5</v>
      </c>
      <c r="AD45" s="94">
        <f t="shared" si="14"/>
        <v>0.25</v>
      </c>
    </row>
    <row r="46" spans="1:30" ht="50.25" customHeight="1" x14ac:dyDescent="0.25">
      <c r="A46" s="229"/>
      <c r="B46" s="85" t="s">
        <v>183</v>
      </c>
      <c r="C46" s="93">
        <f t="shared" ref="C46:R46" si="15">C20*-1</f>
        <v>-58</v>
      </c>
      <c r="D46" s="93">
        <f t="shared" si="15"/>
        <v>-130</v>
      </c>
      <c r="E46" s="94">
        <f t="shared" si="15"/>
        <v>-0.37</v>
      </c>
      <c r="F46" s="95">
        <f t="shared" si="15"/>
        <v>-1.8500000000000001E-3</v>
      </c>
      <c r="G46" s="95">
        <f t="shared" si="15"/>
        <v>-1.3500000000000001E-3</v>
      </c>
      <c r="H46" s="97">
        <f t="shared" si="15"/>
        <v>-9.5</v>
      </c>
      <c r="I46" s="98">
        <f t="shared" si="15"/>
        <v>-4.5000000000000003E-5</v>
      </c>
      <c r="J46" s="96">
        <f t="shared" si="15"/>
        <v>-1.9E-3</v>
      </c>
      <c r="K46" s="94">
        <f t="shared" si="15"/>
        <v>-4.7500000000000001E-2</v>
      </c>
      <c r="L46" s="94">
        <f t="shared" si="15"/>
        <v>-7.7499999999999999E-2</v>
      </c>
      <c r="M46" s="96">
        <f t="shared" si="15"/>
        <v>-8.2500000000000004E-2</v>
      </c>
      <c r="N46" s="94">
        <f t="shared" si="15"/>
        <v>-9.2499999999999999E-2</v>
      </c>
      <c r="O46" s="99">
        <f t="shared" si="15"/>
        <v>-0.115</v>
      </c>
      <c r="P46" s="96">
        <f t="shared" si="15"/>
        <v>-3.7499999999999999E-2</v>
      </c>
      <c r="Q46" s="94">
        <f t="shared" si="15"/>
        <v>-0.27500000000000002</v>
      </c>
      <c r="R46" s="93">
        <f t="shared" si="15"/>
        <v>-425</v>
      </c>
      <c r="S46" s="94">
        <f t="shared" si="3"/>
        <v>0.5</v>
      </c>
      <c r="T46" s="94">
        <f t="shared" si="3"/>
        <v>0.25</v>
      </c>
      <c r="U46" s="93">
        <v>7</v>
      </c>
      <c r="V46" s="94">
        <f t="shared" ref="V46:X46" si="16">IF(V20=$E$33,$F$33,IF(V20=$E$34,$F$34,IF(V20=$E$35,$F$35,IF(V20=$E$36,$F$36,$F$37))))</f>
        <v>0.5</v>
      </c>
      <c r="W46" s="94">
        <f t="shared" si="16"/>
        <v>0.5</v>
      </c>
      <c r="X46" s="94">
        <f t="shared" si="16"/>
        <v>0.5</v>
      </c>
      <c r="Y46" s="93">
        <v>425</v>
      </c>
      <c r="Z46" s="94">
        <f t="shared" ref="Z46" si="17">IF(Z20=$E$33,$F$33,IF(Z20=$E$34,$F$34,IF(Z20=$E$35,$F$35,IF(Z20=$E$36,$F$36,$F$37))))</f>
        <v>0.5</v>
      </c>
      <c r="AA46" s="93">
        <v>9</v>
      </c>
      <c r="AB46" s="94">
        <f t="shared" ref="AB46:AD46" si="18">IF(AB20=$E$33,$F$33,IF(AB20=$E$34,$F$34,IF(AB20=$E$35,$F$35,IF(AB20=$E$36,$F$36,$F$37))))</f>
        <v>0.5</v>
      </c>
      <c r="AC46" s="94">
        <f t="shared" si="18"/>
        <v>0.5</v>
      </c>
      <c r="AD46" s="94">
        <f t="shared" si="18"/>
        <v>0.5</v>
      </c>
    </row>
    <row r="47" spans="1:30" x14ac:dyDescent="0.25">
      <c r="A47" s="84" t="s">
        <v>178</v>
      </c>
      <c r="B47" s="91"/>
      <c r="C47" s="84" t="s">
        <v>179</v>
      </c>
      <c r="D47" s="84" t="s">
        <v>179</v>
      </c>
      <c r="E47" s="84" t="s">
        <v>179</v>
      </c>
      <c r="F47" s="84" t="s">
        <v>179</v>
      </c>
      <c r="G47" s="84" t="s">
        <v>179</v>
      </c>
      <c r="H47" s="84" t="s">
        <v>179</v>
      </c>
      <c r="I47" s="84" t="s">
        <v>179</v>
      </c>
      <c r="J47" s="84" t="s">
        <v>179</v>
      </c>
      <c r="K47" s="84" t="s">
        <v>179</v>
      </c>
      <c r="L47" s="84" t="s">
        <v>179</v>
      </c>
      <c r="M47" s="84" t="s">
        <v>179</v>
      </c>
      <c r="N47" s="84" t="s">
        <v>179</v>
      </c>
      <c r="O47" s="84" t="s">
        <v>179</v>
      </c>
      <c r="P47" s="84" t="s">
        <v>179</v>
      </c>
      <c r="Q47" s="84" t="s">
        <v>179</v>
      </c>
      <c r="R47" s="84" t="s">
        <v>179</v>
      </c>
      <c r="S47" s="84" t="s">
        <v>180</v>
      </c>
      <c r="T47" s="84" t="s">
        <v>180</v>
      </c>
      <c r="U47" s="84" t="s">
        <v>180</v>
      </c>
      <c r="V47" s="84" t="s">
        <v>180</v>
      </c>
      <c r="W47" s="84" t="s">
        <v>180</v>
      </c>
      <c r="X47" s="84" t="s">
        <v>180</v>
      </c>
      <c r="Y47" s="84" t="s">
        <v>179</v>
      </c>
      <c r="Z47" s="84" t="s">
        <v>180</v>
      </c>
      <c r="AA47" s="84" t="s">
        <v>179</v>
      </c>
      <c r="AB47" s="84" t="s">
        <v>180</v>
      </c>
      <c r="AC47" s="84" t="s">
        <v>180</v>
      </c>
      <c r="AD47" s="84" t="s">
        <v>179</v>
      </c>
    </row>
    <row r="49" spans="1:30" x14ac:dyDescent="0.25">
      <c r="B49" s="72" t="s">
        <v>180</v>
      </c>
      <c r="C49" s="80">
        <f>MAX(C42:C46)</f>
        <v>-50</v>
      </c>
      <c r="D49" s="80">
        <f t="shared" ref="D49:AD49" si="19">MAX(D42:D46)</f>
        <v>-100</v>
      </c>
      <c r="E49" s="80">
        <f t="shared" si="19"/>
        <v>-0.3</v>
      </c>
      <c r="F49" s="80">
        <f t="shared" si="19"/>
        <v>-1.6999999999999999E-3</v>
      </c>
      <c r="G49" s="80">
        <f t="shared" si="19"/>
        <v>-1E-3</v>
      </c>
      <c r="H49" s="80">
        <f t="shared" si="19"/>
        <v>-8</v>
      </c>
      <c r="I49" s="80">
        <f t="shared" si="19"/>
        <v>-3.0000000000000001E-5</v>
      </c>
      <c r="J49" s="80">
        <f t="shared" si="19"/>
        <v>-1.6000000000000001E-3</v>
      </c>
      <c r="K49" s="80">
        <f t="shared" si="19"/>
        <v>-0.04</v>
      </c>
      <c r="L49" s="80">
        <f t="shared" si="19"/>
        <v>-7.0000000000000007E-2</v>
      </c>
      <c r="M49" s="80">
        <f t="shared" si="19"/>
        <v>-0.08</v>
      </c>
      <c r="N49" s="80">
        <f t="shared" si="19"/>
        <v>-8.5000000000000006E-2</v>
      </c>
      <c r="O49" s="80">
        <f t="shared" si="19"/>
        <v>-0.1</v>
      </c>
      <c r="P49" s="80">
        <f t="shared" si="19"/>
        <v>-0.03</v>
      </c>
      <c r="Q49" s="80">
        <f t="shared" si="19"/>
        <v>-0.26</v>
      </c>
      <c r="R49" s="80">
        <f t="shared" si="19"/>
        <v>-400</v>
      </c>
      <c r="S49" s="80">
        <f t="shared" si="19"/>
        <v>1</v>
      </c>
      <c r="T49" s="80">
        <f t="shared" si="19"/>
        <v>1</v>
      </c>
      <c r="U49" s="80">
        <f t="shared" si="19"/>
        <v>9</v>
      </c>
      <c r="V49" s="80">
        <f t="shared" si="19"/>
        <v>0.75</v>
      </c>
      <c r="W49" s="80">
        <f t="shared" si="19"/>
        <v>1</v>
      </c>
      <c r="X49" s="80">
        <f t="shared" si="19"/>
        <v>1</v>
      </c>
      <c r="Y49" s="80">
        <f t="shared" si="19"/>
        <v>550</v>
      </c>
      <c r="Z49" s="80">
        <f t="shared" si="19"/>
        <v>1</v>
      </c>
      <c r="AA49" s="80">
        <f t="shared" si="19"/>
        <v>14</v>
      </c>
      <c r="AB49" s="80">
        <f t="shared" si="19"/>
        <v>1</v>
      </c>
      <c r="AC49" s="80">
        <f t="shared" si="19"/>
        <v>0.75</v>
      </c>
      <c r="AD49" s="80">
        <f t="shared" si="19"/>
        <v>0.75</v>
      </c>
    </row>
    <row r="50" spans="1:30" x14ac:dyDescent="0.25">
      <c r="B50" s="72" t="s">
        <v>179</v>
      </c>
      <c r="C50" s="80">
        <f>MIN(C42:C46)</f>
        <v>-65</v>
      </c>
      <c r="D50" s="80">
        <f t="shared" ref="D50:AD50" si="20">MIN(D42:D46)</f>
        <v>-200</v>
      </c>
      <c r="E50" s="80">
        <f t="shared" si="20"/>
        <v>-0.5</v>
      </c>
      <c r="F50" s="80">
        <f t="shared" si="20"/>
        <v>-2E-3</v>
      </c>
      <c r="G50" s="80">
        <f t="shared" si="20"/>
        <v>-1.4E-3</v>
      </c>
      <c r="H50" s="80">
        <f t="shared" si="20"/>
        <v>-11</v>
      </c>
      <c r="I50" s="80">
        <f t="shared" si="20"/>
        <v>-6.0000000000000002E-5</v>
      </c>
      <c r="J50" s="80">
        <f t="shared" si="20"/>
        <v>-2.0999999999999999E-3</v>
      </c>
      <c r="K50" s="80">
        <f t="shared" si="20"/>
        <v>-5.5E-2</v>
      </c>
      <c r="L50" s="80">
        <f t="shared" si="20"/>
        <v>-8.5000000000000006E-2</v>
      </c>
      <c r="M50" s="80">
        <f t="shared" si="20"/>
        <v>-9.5000000000000001E-2</v>
      </c>
      <c r="N50" s="80">
        <f t="shared" si="20"/>
        <v>-0.105</v>
      </c>
      <c r="O50" s="80">
        <f t="shared" si="20"/>
        <v>-0.13</v>
      </c>
      <c r="P50" s="80">
        <f t="shared" si="20"/>
        <v>-4.4999999999999998E-2</v>
      </c>
      <c r="Q50" s="80">
        <f t="shared" si="20"/>
        <v>-0.32</v>
      </c>
      <c r="R50" s="80">
        <f t="shared" si="20"/>
        <v>-550</v>
      </c>
      <c r="S50" s="80">
        <f t="shared" si="20"/>
        <v>0.25</v>
      </c>
      <c r="T50" s="80">
        <f t="shared" si="20"/>
        <v>0.25</v>
      </c>
      <c r="U50" s="80">
        <f t="shared" si="20"/>
        <v>4</v>
      </c>
      <c r="V50" s="80">
        <f t="shared" si="20"/>
        <v>0.5</v>
      </c>
      <c r="W50" s="80">
        <f t="shared" si="20"/>
        <v>0.5</v>
      </c>
      <c r="X50" s="80">
        <f t="shared" si="20"/>
        <v>0.25</v>
      </c>
      <c r="Y50" s="80">
        <f t="shared" si="20"/>
        <v>400</v>
      </c>
      <c r="Z50" s="80">
        <f t="shared" si="20"/>
        <v>0.5</v>
      </c>
      <c r="AA50" s="80">
        <f t="shared" si="20"/>
        <v>8</v>
      </c>
      <c r="AB50" s="80">
        <f t="shared" si="20"/>
        <v>0.25</v>
      </c>
      <c r="AC50" s="80">
        <f t="shared" si="20"/>
        <v>0</v>
      </c>
      <c r="AD50" s="80">
        <f t="shared" si="20"/>
        <v>0.25</v>
      </c>
    </row>
    <row r="54" spans="1:30" x14ac:dyDescent="0.25">
      <c r="A54" s="82"/>
      <c r="B54" s="100" t="s">
        <v>150</v>
      </c>
      <c r="C54" s="236" t="s">
        <v>118</v>
      </c>
      <c r="D54" s="236"/>
      <c r="E54" s="236"/>
      <c r="F54" s="236"/>
      <c r="G54" s="236"/>
      <c r="H54" s="236"/>
      <c r="I54" s="236"/>
      <c r="J54" s="236"/>
      <c r="K54" s="236"/>
      <c r="L54" s="236"/>
      <c r="M54" s="236"/>
      <c r="N54" s="236"/>
      <c r="O54" s="236"/>
      <c r="P54" s="236"/>
      <c r="Q54" s="236"/>
      <c r="R54" s="236"/>
      <c r="S54" s="240" t="s">
        <v>124</v>
      </c>
      <c r="T54" s="240"/>
      <c r="U54" s="240"/>
      <c r="V54" s="238" t="s">
        <v>90</v>
      </c>
      <c r="W54" s="238"/>
      <c r="X54" s="238"/>
      <c r="Y54" s="238"/>
      <c r="Z54" s="238"/>
      <c r="AA54" s="238"/>
      <c r="AB54" s="234" t="s">
        <v>134</v>
      </c>
      <c r="AC54" s="234"/>
      <c r="AD54" s="234"/>
    </row>
    <row r="55" spans="1:30" ht="90" x14ac:dyDescent="0.25">
      <c r="A55" s="82"/>
      <c r="B55" s="100"/>
      <c r="C55" s="83" t="s">
        <v>34</v>
      </c>
      <c r="D55" s="83" t="s">
        <v>151</v>
      </c>
      <c r="E55" s="83" t="s">
        <v>35</v>
      </c>
      <c r="F55" s="83" t="s">
        <v>141</v>
      </c>
      <c r="G55" s="83" t="s">
        <v>142</v>
      </c>
      <c r="H55" s="83" t="s">
        <v>38</v>
      </c>
      <c r="I55" s="83" t="s">
        <v>39</v>
      </c>
      <c r="J55" s="83" t="s">
        <v>40</v>
      </c>
      <c r="K55" s="83" t="s">
        <v>41</v>
      </c>
      <c r="L55" s="83" t="s">
        <v>143</v>
      </c>
      <c r="M55" s="83" t="s">
        <v>144</v>
      </c>
      <c r="N55" s="83" t="s">
        <v>145</v>
      </c>
      <c r="O55" s="83" t="s">
        <v>146</v>
      </c>
      <c r="P55" s="83" t="s">
        <v>147</v>
      </c>
      <c r="Q55" s="83" t="s">
        <v>47</v>
      </c>
      <c r="R55" s="83" t="s">
        <v>148</v>
      </c>
      <c r="S55" s="83" t="s">
        <v>125</v>
      </c>
      <c r="T55" s="83" t="s">
        <v>49</v>
      </c>
      <c r="U55" s="83" t="s">
        <v>50</v>
      </c>
      <c r="V55" s="83" t="s">
        <v>127</v>
      </c>
      <c r="W55" s="83" t="s">
        <v>51</v>
      </c>
      <c r="X55" s="83" t="s">
        <v>128</v>
      </c>
      <c r="Y55" s="83" t="s">
        <v>52</v>
      </c>
      <c r="Z55" s="83" t="s">
        <v>53</v>
      </c>
      <c r="AA55" s="83" t="s">
        <v>129</v>
      </c>
      <c r="AB55" s="83" t="s">
        <v>54</v>
      </c>
      <c r="AC55" s="83" t="s">
        <v>55</v>
      </c>
      <c r="AD55" s="83" t="s">
        <v>56</v>
      </c>
    </row>
    <row r="56" spans="1:30" ht="31.5" customHeight="1" x14ac:dyDescent="0.25">
      <c r="A56" s="82"/>
      <c r="B56" s="100"/>
      <c r="C56" s="84" t="s">
        <v>152</v>
      </c>
      <c r="D56" s="84" t="s">
        <v>153</v>
      </c>
      <c r="E56" s="84" t="s">
        <v>154</v>
      </c>
      <c r="F56" s="84" t="s">
        <v>155</v>
      </c>
      <c r="G56" s="84" t="s">
        <v>155</v>
      </c>
      <c r="H56" s="83" t="s">
        <v>156</v>
      </c>
      <c r="I56" s="83" t="s">
        <v>157</v>
      </c>
      <c r="J56" s="83" t="s">
        <v>158</v>
      </c>
      <c r="K56" s="83" t="s">
        <v>159</v>
      </c>
      <c r="L56" s="83" t="s">
        <v>160</v>
      </c>
      <c r="M56" s="83" t="s">
        <v>161</v>
      </c>
      <c r="N56" s="83" t="s">
        <v>162</v>
      </c>
      <c r="O56" s="83" t="s">
        <v>163</v>
      </c>
      <c r="P56" s="83" t="s">
        <v>164</v>
      </c>
      <c r="Q56" s="83" t="s">
        <v>165</v>
      </c>
      <c r="R56" s="83" t="s">
        <v>166</v>
      </c>
      <c r="S56" s="83" t="s">
        <v>167</v>
      </c>
      <c r="T56" s="83" t="s">
        <v>167</v>
      </c>
      <c r="U56" s="83" t="s">
        <v>181</v>
      </c>
      <c r="V56" s="83" t="s">
        <v>167</v>
      </c>
      <c r="W56" s="83" t="s">
        <v>167</v>
      </c>
      <c r="X56" s="83" t="s">
        <v>167</v>
      </c>
      <c r="Y56" s="84" t="s">
        <v>168</v>
      </c>
      <c r="Z56" s="83" t="s">
        <v>167</v>
      </c>
      <c r="AA56" s="84" t="s">
        <v>169</v>
      </c>
      <c r="AB56" s="83" t="s">
        <v>167</v>
      </c>
      <c r="AC56" s="83" t="s">
        <v>167</v>
      </c>
      <c r="AD56" s="83" t="s">
        <v>167</v>
      </c>
    </row>
    <row r="57" spans="1:30" ht="30" x14ac:dyDescent="0.25">
      <c r="A57" s="229" t="s">
        <v>170</v>
      </c>
      <c r="B57" s="85" t="s">
        <v>171</v>
      </c>
      <c r="C57" s="134">
        <f>(C42-C$50)/(C$49-C$50)</f>
        <v>1</v>
      </c>
      <c r="D57" s="134">
        <f t="shared" ref="D57:AD61" si="21">(D42-D$50)/(D$49-D$50)</f>
        <v>1</v>
      </c>
      <c r="E57" s="134">
        <f t="shared" si="21"/>
        <v>1</v>
      </c>
      <c r="F57" s="135">
        <f t="shared" si="21"/>
        <v>0</v>
      </c>
      <c r="G57" s="135">
        <f t="shared" si="21"/>
        <v>1</v>
      </c>
      <c r="H57" s="135">
        <f t="shared" si="21"/>
        <v>0.33333333333333331</v>
      </c>
      <c r="I57" s="135">
        <f t="shared" si="21"/>
        <v>0.33333333333333331</v>
      </c>
      <c r="J57" s="135">
        <f t="shared" si="21"/>
        <v>0.19999999999999973</v>
      </c>
      <c r="K57" s="135">
        <f t="shared" si="21"/>
        <v>0.3333333333333332</v>
      </c>
      <c r="L57" s="135">
        <f t="shared" si="21"/>
        <v>0.33333333333333365</v>
      </c>
      <c r="M57" s="135">
        <f t="shared" si="21"/>
        <v>0.33333333333333365</v>
      </c>
      <c r="N57" s="135">
        <f t="shared" si="21"/>
        <v>0.24999999999999964</v>
      </c>
      <c r="O57" s="135">
        <f t="shared" si="21"/>
        <v>0.33333333333333365</v>
      </c>
      <c r="P57" s="135">
        <f t="shared" si="21"/>
        <v>0.3333333333333332</v>
      </c>
      <c r="Q57" s="135">
        <f t="shared" si="21"/>
        <v>0.33333333333333365</v>
      </c>
      <c r="R57" s="135">
        <f t="shared" si="21"/>
        <v>0.33333333333333331</v>
      </c>
      <c r="S57" s="135">
        <f t="shared" si="21"/>
        <v>1</v>
      </c>
      <c r="T57" s="135">
        <f t="shared" si="21"/>
        <v>1</v>
      </c>
      <c r="U57" s="135">
        <f t="shared" si="21"/>
        <v>0</v>
      </c>
      <c r="V57" s="135">
        <f t="shared" si="21"/>
        <v>0</v>
      </c>
      <c r="W57" s="135">
        <f t="shared" si="21"/>
        <v>0.5</v>
      </c>
      <c r="X57" s="135">
        <f t="shared" si="21"/>
        <v>1</v>
      </c>
      <c r="Y57" s="135">
        <f t="shared" si="21"/>
        <v>0.66666666666666663</v>
      </c>
      <c r="Z57" s="135">
        <f t="shared" si="21"/>
        <v>1</v>
      </c>
      <c r="AA57" s="135">
        <f t="shared" si="21"/>
        <v>0.66666666666666663</v>
      </c>
      <c r="AB57" s="135">
        <f t="shared" si="21"/>
        <v>1</v>
      </c>
      <c r="AC57" s="135">
        <f t="shared" si="21"/>
        <v>1</v>
      </c>
      <c r="AD57" s="135">
        <f t="shared" si="21"/>
        <v>1</v>
      </c>
    </row>
    <row r="58" spans="1:30" ht="45" x14ac:dyDescent="0.25">
      <c r="A58" s="229"/>
      <c r="B58" s="85" t="s">
        <v>175</v>
      </c>
      <c r="C58" s="134">
        <f t="shared" ref="C58:R61" si="22">(C43-C$50)/(C$49-C$50)</f>
        <v>0.33333333333333331</v>
      </c>
      <c r="D58" s="134">
        <f t="shared" si="22"/>
        <v>0.5</v>
      </c>
      <c r="E58" s="134">
        <f t="shared" si="22"/>
        <v>0.49999999999999989</v>
      </c>
      <c r="F58" s="135">
        <f t="shared" si="22"/>
        <v>0.66666666666666663</v>
      </c>
      <c r="G58" s="135">
        <f t="shared" si="22"/>
        <v>0.25000000000000011</v>
      </c>
      <c r="H58" s="135">
        <f t="shared" si="22"/>
        <v>0.66666666666666663</v>
      </c>
      <c r="I58" s="135">
        <f t="shared" si="22"/>
        <v>0.66666666666666663</v>
      </c>
      <c r="J58" s="135">
        <f t="shared" si="22"/>
        <v>0.60000000000000009</v>
      </c>
      <c r="K58" s="135">
        <f t="shared" si="22"/>
        <v>0.66666666666666685</v>
      </c>
      <c r="L58" s="135">
        <f t="shared" si="22"/>
        <v>0.6666666666666673</v>
      </c>
      <c r="M58" s="135">
        <f t="shared" si="22"/>
        <v>0.66666666666666641</v>
      </c>
      <c r="N58" s="135">
        <f t="shared" si="22"/>
        <v>0.75000000000000033</v>
      </c>
      <c r="O58" s="135">
        <f t="shared" si="22"/>
        <v>0.66666666666666685</v>
      </c>
      <c r="P58" s="135">
        <f t="shared" si="22"/>
        <v>0.66666666666666641</v>
      </c>
      <c r="Q58" s="135">
        <f t="shared" si="22"/>
        <v>0.66666666666666641</v>
      </c>
      <c r="R58" s="135">
        <f t="shared" si="22"/>
        <v>0.66666666666666663</v>
      </c>
      <c r="S58" s="135">
        <f t="shared" si="21"/>
        <v>0</v>
      </c>
      <c r="T58" s="135">
        <f t="shared" si="21"/>
        <v>0.33333333333333331</v>
      </c>
      <c r="U58" s="135">
        <f t="shared" si="21"/>
        <v>1</v>
      </c>
      <c r="V58" s="135">
        <f t="shared" si="21"/>
        <v>1</v>
      </c>
      <c r="W58" s="135">
        <f t="shared" si="21"/>
        <v>1</v>
      </c>
      <c r="X58" s="135">
        <f t="shared" si="21"/>
        <v>0</v>
      </c>
      <c r="Y58" s="135">
        <f t="shared" si="21"/>
        <v>0.33333333333333331</v>
      </c>
      <c r="Z58" s="135">
        <f t="shared" si="21"/>
        <v>1</v>
      </c>
      <c r="AA58" s="135">
        <f t="shared" si="21"/>
        <v>0.33333333333333331</v>
      </c>
      <c r="AB58" s="135">
        <f t="shared" si="21"/>
        <v>0</v>
      </c>
      <c r="AC58" s="135">
        <f t="shared" si="21"/>
        <v>0</v>
      </c>
      <c r="AD58" s="135">
        <f t="shared" si="21"/>
        <v>0.5</v>
      </c>
    </row>
    <row r="59" spans="1:30" ht="45" x14ac:dyDescent="0.25">
      <c r="A59" s="229"/>
      <c r="B59" s="85" t="s">
        <v>177</v>
      </c>
      <c r="C59" s="134">
        <f t="shared" si="22"/>
        <v>0.66666666666666663</v>
      </c>
      <c r="D59" s="134">
        <f t="shared" si="21"/>
        <v>0.8</v>
      </c>
      <c r="E59" s="134">
        <f t="shared" si="21"/>
        <v>0.75000000000000011</v>
      </c>
      <c r="F59" s="135">
        <f t="shared" si="21"/>
        <v>1</v>
      </c>
      <c r="G59" s="135">
        <f t="shared" si="21"/>
        <v>0.50000000000000022</v>
      </c>
      <c r="H59" s="135">
        <f t="shared" si="21"/>
        <v>1</v>
      </c>
      <c r="I59" s="135">
        <f t="shared" si="21"/>
        <v>1</v>
      </c>
      <c r="J59" s="135">
        <f t="shared" si="21"/>
        <v>1</v>
      </c>
      <c r="K59" s="135">
        <f t="shared" si="21"/>
        <v>1</v>
      </c>
      <c r="L59" s="135">
        <f t="shared" si="21"/>
        <v>1</v>
      </c>
      <c r="M59" s="135">
        <f t="shared" si="21"/>
        <v>1</v>
      </c>
      <c r="N59" s="135">
        <f t="shared" si="21"/>
        <v>1</v>
      </c>
      <c r="O59" s="135">
        <f t="shared" si="21"/>
        <v>1</v>
      </c>
      <c r="P59" s="135">
        <f t="shared" si="21"/>
        <v>1</v>
      </c>
      <c r="Q59" s="135">
        <f t="shared" si="21"/>
        <v>1</v>
      </c>
      <c r="R59" s="135">
        <f t="shared" si="21"/>
        <v>1</v>
      </c>
      <c r="S59" s="135">
        <f t="shared" si="21"/>
        <v>0.66666666666666663</v>
      </c>
      <c r="T59" s="135">
        <f t="shared" si="21"/>
        <v>0.33333333333333331</v>
      </c>
      <c r="U59" s="135">
        <f t="shared" si="21"/>
        <v>0.2</v>
      </c>
      <c r="V59" s="135">
        <f t="shared" si="21"/>
        <v>0</v>
      </c>
      <c r="W59" s="135">
        <f t="shared" si="21"/>
        <v>1</v>
      </c>
      <c r="X59" s="135">
        <f t="shared" si="21"/>
        <v>0.33333333333333331</v>
      </c>
      <c r="Y59" s="135">
        <f t="shared" si="21"/>
        <v>0</v>
      </c>
      <c r="Z59" s="135">
        <f t="shared" si="21"/>
        <v>0</v>
      </c>
      <c r="AA59" s="135">
        <f t="shared" si="21"/>
        <v>0</v>
      </c>
      <c r="AB59" s="135">
        <f t="shared" si="21"/>
        <v>0.66666666666666663</v>
      </c>
      <c r="AC59" s="135">
        <f t="shared" si="21"/>
        <v>0.66666666666666663</v>
      </c>
      <c r="AD59" s="135">
        <f t="shared" si="21"/>
        <v>0.5</v>
      </c>
    </row>
    <row r="60" spans="1:30" ht="45" x14ac:dyDescent="0.25">
      <c r="A60" s="229"/>
      <c r="B60" s="85" t="s">
        <v>182</v>
      </c>
      <c r="C60" s="134">
        <f t="shared" si="22"/>
        <v>0</v>
      </c>
      <c r="D60" s="134">
        <f t="shared" si="21"/>
        <v>0</v>
      </c>
      <c r="E60" s="134">
        <f t="shared" si="21"/>
        <v>0</v>
      </c>
      <c r="F60" s="135">
        <f t="shared" si="21"/>
        <v>0.33333333333333331</v>
      </c>
      <c r="G60" s="135">
        <f t="shared" si="21"/>
        <v>0</v>
      </c>
      <c r="H60" s="135">
        <f t="shared" si="21"/>
        <v>0</v>
      </c>
      <c r="I60" s="135">
        <f t="shared" si="21"/>
        <v>0</v>
      </c>
      <c r="J60" s="135">
        <f t="shared" si="21"/>
        <v>0</v>
      </c>
      <c r="K60" s="135">
        <f t="shared" si="21"/>
        <v>0</v>
      </c>
      <c r="L60" s="135">
        <f t="shared" si="21"/>
        <v>0</v>
      </c>
      <c r="M60" s="135">
        <f t="shared" si="21"/>
        <v>0</v>
      </c>
      <c r="N60" s="135">
        <f t="shared" si="21"/>
        <v>0</v>
      </c>
      <c r="O60" s="135">
        <f t="shared" si="21"/>
        <v>0</v>
      </c>
      <c r="P60" s="135">
        <f t="shared" si="21"/>
        <v>0</v>
      </c>
      <c r="Q60" s="135">
        <f t="shared" si="21"/>
        <v>0</v>
      </c>
      <c r="R60" s="135">
        <f t="shared" si="21"/>
        <v>0</v>
      </c>
      <c r="S60" s="135">
        <f t="shared" si="21"/>
        <v>0.33333333333333331</v>
      </c>
      <c r="T60" s="135">
        <f t="shared" si="21"/>
        <v>0</v>
      </c>
      <c r="U60" s="135">
        <f t="shared" si="21"/>
        <v>0.4</v>
      </c>
      <c r="V60" s="135">
        <f t="shared" si="21"/>
        <v>0</v>
      </c>
      <c r="W60" s="135">
        <f t="shared" si="21"/>
        <v>0</v>
      </c>
      <c r="X60" s="135">
        <f t="shared" si="21"/>
        <v>0.33333333333333331</v>
      </c>
      <c r="Y60" s="135">
        <f t="shared" si="21"/>
        <v>1</v>
      </c>
      <c r="Z60" s="135">
        <f t="shared" si="21"/>
        <v>0</v>
      </c>
      <c r="AA60" s="135">
        <f t="shared" si="21"/>
        <v>1</v>
      </c>
      <c r="AB60" s="135">
        <f t="shared" si="21"/>
        <v>0</v>
      </c>
      <c r="AC60" s="135">
        <f t="shared" si="21"/>
        <v>0.66666666666666663</v>
      </c>
      <c r="AD60" s="135">
        <f t="shared" si="21"/>
        <v>0</v>
      </c>
    </row>
    <row r="61" spans="1:30" ht="50.25" customHeight="1" x14ac:dyDescent="0.25">
      <c r="A61" s="229"/>
      <c r="B61" s="85" t="s">
        <v>183</v>
      </c>
      <c r="C61" s="134">
        <f t="shared" si="22"/>
        <v>0.46666666666666667</v>
      </c>
      <c r="D61" s="134">
        <f t="shared" si="21"/>
        <v>0.7</v>
      </c>
      <c r="E61" s="134">
        <f t="shared" si="21"/>
        <v>0.65</v>
      </c>
      <c r="F61" s="135">
        <f t="shared" si="21"/>
        <v>0.49999999999999961</v>
      </c>
      <c r="G61" s="135">
        <f t="shared" si="21"/>
        <v>0.12499999999999979</v>
      </c>
      <c r="H61" s="135">
        <f t="shared" si="21"/>
        <v>0.5</v>
      </c>
      <c r="I61" s="135">
        <f t="shared" si="21"/>
        <v>0.49999999999999994</v>
      </c>
      <c r="J61" s="135">
        <f t="shared" si="21"/>
        <v>0.39999999999999991</v>
      </c>
      <c r="K61" s="135">
        <f t="shared" si="21"/>
        <v>0.5</v>
      </c>
      <c r="L61" s="135">
        <f t="shared" si="21"/>
        <v>0.50000000000000044</v>
      </c>
      <c r="M61" s="135">
        <f t="shared" si="21"/>
        <v>0.83333333333333315</v>
      </c>
      <c r="N61" s="135">
        <f t="shared" si="21"/>
        <v>0.62500000000000022</v>
      </c>
      <c r="O61" s="135">
        <f t="shared" si="21"/>
        <v>0.5</v>
      </c>
      <c r="P61" s="135">
        <f t="shared" si="21"/>
        <v>0.5</v>
      </c>
      <c r="Q61" s="135">
        <f t="shared" si="21"/>
        <v>0.74999999999999978</v>
      </c>
      <c r="R61" s="135">
        <f t="shared" si="21"/>
        <v>0.83333333333333337</v>
      </c>
      <c r="S61" s="135">
        <f t="shared" si="21"/>
        <v>0.33333333333333331</v>
      </c>
      <c r="T61" s="135">
        <f t="shared" si="21"/>
        <v>0</v>
      </c>
      <c r="U61" s="135">
        <f t="shared" si="21"/>
        <v>0.6</v>
      </c>
      <c r="V61" s="135">
        <f t="shared" si="21"/>
        <v>0</v>
      </c>
      <c r="W61" s="135">
        <f t="shared" si="21"/>
        <v>0</v>
      </c>
      <c r="X61" s="135">
        <f t="shared" si="21"/>
        <v>0.33333333333333331</v>
      </c>
      <c r="Y61" s="135">
        <f t="shared" si="21"/>
        <v>0.16666666666666666</v>
      </c>
      <c r="Z61" s="135">
        <f t="shared" si="21"/>
        <v>0</v>
      </c>
      <c r="AA61" s="135">
        <f t="shared" si="21"/>
        <v>0.16666666666666666</v>
      </c>
      <c r="AB61" s="135">
        <f t="shared" si="21"/>
        <v>0.33333333333333331</v>
      </c>
      <c r="AC61" s="135">
        <f t="shared" si="21"/>
        <v>0.66666666666666663</v>
      </c>
      <c r="AD61" s="135">
        <f t="shared" si="21"/>
        <v>0.5</v>
      </c>
    </row>
    <row r="62" spans="1:30" x14ac:dyDescent="0.25">
      <c r="A62" s="84" t="s">
        <v>178</v>
      </c>
      <c r="B62" s="91"/>
      <c r="C62" s="84" t="s">
        <v>179</v>
      </c>
      <c r="D62" s="84" t="s">
        <v>179</v>
      </c>
      <c r="E62" s="84" t="s">
        <v>179</v>
      </c>
      <c r="F62" s="84" t="s">
        <v>179</v>
      </c>
      <c r="G62" s="84" t="s">
        <v>179</v>
      </c>
      <c r="H62" s="84" t="s">
        <v>179</v>
      </c>
      <c r="I62" s="84" t="s">
        <v>179</v>
      </c>
      <c r="J62" s="84" t="s">
        <v>179</v>
      </c>
      <c r="K62" s="84" t="s">
        <v>179</v>
      </c>
      <c r="L62" s="84" t="s">
        <v>179</v>
      </c>
      <c r="M62" s="84" t="s">
        <v>179</v>
      </c>
      <c r="N62" s="84" t="s">
        <v>179</v>
      </c>
      <c r="O62" s="84" t="s">
        <v>179</v>
      </c>
      <c r="P62" s="84" t="s">
        <v>179</v>
      </c>
      <c r="Q62" s="84" t="s">
        <v>179</v>
      </c>
      <c r="R62" s="84" t="s">
        <v>179</v>
      </c>
      <c r="S62" s="84" t="s">
        <v>180</v>
      </c>
      <c r="T62" s="84" t="s">
        <v>180</v>
      </c>
      <c r="U62" s="84" t="s">
        <v>180</v>
      </c>
      <c r="V62" s="84" t="s">
        <v>180</v>
      </c>
      <c r="W62" s="84" t="s">
        <v>180</v>
      </c>
      <c r="X62" s="84" t="s">
        <v>180</v>
      </c>
      <c r="Y62" s="84" t="s">
        <v>179</v>
      </c>
      <c r="Z62" s="84" t="s">
        <v>180</v>
      </c>
      <c r="AA62" s="84" t="s">
        <v>179</v>
      </c>
      <c r="AB62" s="84" t="s">
        <v>180</v>
      </c>
      <c r="AC62" s="84" t="s">
        <v>180</v>
      </c>
      <c r="AD62" s="84" t="s">
        <v>179</v>
      </c>
    </row>
    <row r="63" spans="1:30" x14ac:dyDescent="0.25">
      <c r="A63" s="3"/>
      <c r="B63" s="30"/>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x14ac:dyDescent="0.25">
      <c r="A64" s="3"/>
      <c r="B64" s="30"/>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6" spans="2:30" x14ac:dyDescent="0.25">
      <c r="B66" s="72" t="s">
        <v>180</v>
      </c>
      <c r="C66" s="80">
        <f>MAX(C57:C61)</f>
        <v>1</v>
      </c>
      <c r="D66" s="80">
        <f t="shared" ref="D66:AD66" si="23">MAX(D57:D61)</f>
        <v>1</v>
      </c>
      <c r="E66" s="80">
        <f t="shared" si="23"/>
        <v>1</v>
      </c>
      <c r="F66" s="80">
        <f t="shared" si="23"/>
        <v>1</v>
      </c>
      <c r="G66" s="80">
        <f t="shared" si="23"/>
        <v>1</v>
      </c>
      <c r="H66" s="80">
        <f t="shared" si="23"/>
        <v>1</v>
      </c>
      <c r="I66" s="80">
        <f t="shared" si="23"/>
        <v>1</v>
      </c>
      <c r="J66" s="80">
        <f t="shared" si="23"/>
        <v>1</v>
      </c>
      <c r="K66" s="80">
        <f t="shared" si="23"/>
        <v>1</v>
      </c>
      <c r="L66" s="80">
        <f t="shared" si="23"/>
        <v>1</v>
      </c>
      <c r="M66" s="80">
        <f t="shared" si="23"/>
        <v>1</v>
      </c>
      <c r="N66" s="80">
        <f t="shared" si="23"/>
        <v>1</v>
      </c>
      <c r="O66" s="80">
        <f t="shared" si="23"/>
        <v>1</v>
      </c>
      <c r="P66" s="80">
        <f t="shared" si="23"/>
        <v>1</v>
      </c>
      <c r="Q66" s="80">
        <f t="shared" si="23"/>
        <v>1</v>
      </c>
      <c r="R66" s="80">
        <f t="shared" si="23"/>
        <v>1</v>
      </c>
      <c r="S66" s="80">
        <f t="shared" si="23"/>
        <v>1</v>
      </c>
      <c r="T66" s="80">
        <f t="shared" si="23"/>
        <v>1</v>
      </c>
      <c r="U66" s="80">
        <f t="shared" si="23"/>
        <v>1</v>
      </c>
      <c r="V66" s="80">
        <f t="shared" si="23"/>
        <v>1</v>
      </c>
      <c r="W66" s="80">
        <f t="shared" si="23"/>
        <v>1</v>
      </c>
      <c r="X66" s="80">
        <f t="shared" si="23"/>
        <v>1</v>
      </c>
      <c r="Y66" s="80">
        <f t="shared" si="23"/>
        <v>1</v>
      </c>
      <c r="Z66" s="80">
        <f t="shared" si="23"/>
        <v>1</v>
      </c>
      <c r="AA66" s="80">
        <f t="shared" si="23"/>
        <v>1</v>
      </c>
      <c r="AB66" s="80">
        <f t="shared" si="23"/>
        <v>1</v>
      </c>
      <c r="AC66" s="80">
        <f t="shared" si="23"/>
        <v>1</v>
      </c>
      <c r="AD66" s="80">
        <f t="shared" si="23"/>
        <v>1</v>
      </c>
    </row>
    <row r="67" spans="2:30" x14ac:dyDescent="0.25">
      <c r="B67" s="72" t="s">
        <v>179</v>
      </c>
      <c r="C67" s="80">
        <f>MIN(C57:C61)</f>
        <v>0</v>
      </c>
      <c r="D67" s="80">
        <f t="shared" ref="D67:AD67" si="24">MIN(D57:D61)</f>
        <v>0</v>
      </c>
      <c r="E67" s="80">
        <f t="shared" si="24"/>
        <v>0</v>
      </c>
      <c r="F67" s="80">
        <f t="shared" si="24"/>
        <v>0</v>
      </c>
      <c r="G67" s="80">
        <f t="shared" si="24"/>
        <v>0</v>
      </c>
      <c r="H67" s="80">
        <f t="shared" si="24"/>
        <v>0</v>
      </c>
      <c r="I67" s="80">
        <f t="shared" si="24"/>
        <v>0</v>
      </c>
      <c r="J67" s="80">
        <f t="shared" si="24"/>
        <v>0</v>
      </c>
      <c r="K67" s="80">
        <f t="shared" si="24"/>
        <v>0</v>
      </c>
      <c r="L67" s="80">
        <f t="shared" si="24"/>
        <v>0</v>
      </c>
      <c r="M67" s="80">
        <f t="shared" si="24"/>
        <v>0</v>
      </c>
      <c r="N67" s="80">
        <f t="shared" si="24"/>
        <v>0</v>
      </c>
      <c r="O67" s="80">
        <f t="shared" si="24"/>
        <v>0</v>
      </c>
      <c r="P67" s="80">
        <f t="shared" si="24"/>
        <v>0</v>
      </c>
      <c r="Q67" s="80">
        <f t="shared" si="24"/>
        <v>0</v>
      </c>
      <c r="R67" s="80">
        <f t="shared" si="24"/>
        <v>0</v>
      </c>
      <c r="S67" s="80">
        <f t="shared" si="24"/>
        <v>0</v>
      </c>
      <c r="T67" s="80">
        <f t="shared" si="24"/>
        <v>0</v>
      </c>
      <c r="U67" s="80">
        <f t="shared" si="24"/>
        <v>0</v>
      </c>
      <c r="V67" s="80">
        <f t="shared" si="24"/>
        <v>0</v>
      </c>
      <c r="W67" s="80">
        <f t="shared" si="24"/>
        <v>0</v>
      </c>
      <c r="X67" s="80">
        <f t="shared" si="24"/>
        <v>0</v>
      </c>
      <c r="Y67" s="80">
        <f t="shared" si="24"/>
        <v>0</v>
      </c>
      <c r="Z67" s="80">
        <f t="shared" si="24"/>
        <v>0</v>
      </c>
      <c r="AA67" s="80">
        <f t="shared" si="24"/>
        <v>0</v>
      </c>
      <c r="AB67" s="80">
        <f t="shared" si="24"/>
        <v>0</v>
      </c>
      <c r="AC67" s="80">
        <f t="shared" si="24"/>
        <v>0</v>
      </c>
      <c r="AD67" s="80">
        <f t="shared" si="24"/>
        <v>0</v>
      </c>
    </row>
    <row r="70" spans="2:30" x14ac:dyDescent="0.25">
      <c r="B70" s="24" t="s">
        <v>195</v>
      </c>
    </row>
    <row r="97" spans="2:2" x14ac:dyDescent="0.25">
      <c r="B97" s="24" t="s">
        <v>196</v>
      </c>
    </row>
    <row r="98" spans="2:2" x14ac:dyDescent="0.25">
      <c r="B98" s="3" t="s">
        <v>197</v>
      </c>
    </row>
  </sheetData>
  <mergeCells count="20">
    <mergeCell ref="A57:A61"/>
    <mergeCell ref="A42:A46"/>
    <mergeCell ref="C54:R54"/>
    <mergeCell ref="S54:U54"/>
    <mergeCell ref="V54:AA54"/>
    <mergeCell ref="AB54:AD54"/>
    <mergeCell ref="AB13:AD13"/>
    <mergeCell ref="A16:A20"/>
    <mergeCell ref="B39:B41"/>
    <mergeCell ref="C39:R39"/>
    <mergeCell ref="S39:U39"/>
    <mergeCell ref="V39:AA39"/>
    <mergeCell ref="AB39:AD39"/>
    <mergeCell ref="V13:AA13"/>
    <mergeCell ref="C3:P3"/>
    <mergeCell ref="C4:P10"/>
    <mergeCell ref="B13:B15"/>
    <mergeCell ref="C13:R13"/>
    <mergeCell ref="S13:U13"/>
    <mergeCell ref="C12:AD1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4DF89-6DE2-4CA3-85C3-78C2E9ED6F3B}">
  <dimension ref="A2:BI35"/>
  <sheetViews>
    <sheetView topLeftCell="A22" zoomScale="67" zoomScaleNormal="90" workbookViewId="0">
      <selection activeCell="J35" sqref="J35:L35"/>
    </sheetView>
  </sheetViews>
  <sheetFormatPr baseColWidth="10" defaultColWidth="11.42578125" defaultRowHeight="15" x14ac:dyDescent="0.25"/>
  <cols>
    <col min="1" max="1" width="11.7109375" style="1" customWidth="1"/>
    <col min="2" max="2" width="15.7109375" style="1" customWidth="1"/>
    <col min="3" max="3" width="20" style="1" bestFit="1" customWidth="1"/>
    <col min="4" max="9" width="11.42578125" style="1"/>
    <col min="10" max="10" width="11.42578125" style="1" customWidth="1"/>
    <col min="11" max="15" width="11.42578125" style="1"/>
    <col min="16" max="16" width="21.7109375" style="1" customWidth="1"/>
    <col min="17" max="16384" width="11.42578125" style="1"/>
  </cols>
  <sheetData>
    <row r="2" spans="3:16" ht="40.5" customHeight="1" thickBot="1" x14ac:dyDescent="0.3"/>
    <row r="3" spans="3:16" s="24" customFormat="1" ht="33.75" customHeight="1" thickBot="1" x14ac:dyDescent="0.3">
      <c r="C3" s="170" t="s">
        <v>223</v>
      </c>
      <c r="D3" s="198"/>
      <c r="E3" s="198"/>
      <c r="F3" s="198"/>
      <c r="G3" s="198"/>
      <c r="H3" s="198"/>
      <c r="I3" s="198"/>
      <c r="J3" s="198"/>
      <c r="K3" s="198"/>
      <c r="L3" s="198"/>
      <c r="M3" s="198"/>
      <c r="N3" s="198"/>
      <c r="O3" s="198"/>
      <c r="P3" s="199"/>
    </row>
    <row r="4" spans="3:16" s="24" customFormat="1" x14ac:dyDescent="0.25">
      <c r="C4" s="187" t="s">
        <v>198</v>
      </c>
      <c r="D4" s="200"/>
      <c r="E4" s="200"/>
      <c r="F4" s="200"/>
      <c r="G4" s="200"/>
      <c r="H4" s="200"/>
      <c r="I4" s="200"/>
      <c r="J4" s="200"/>
      <c r="K4" s="200"/>
      <c r="L4" s="200"/>
      <c r="M4" s="200"/>
      <c r="N4" s="200"/>
      <c r="O4" s="200"/>
      <c r="P4" s="201"/>
    </row>
    <row r="5" spans="3:16" s="24" customFormat="1" x14ac:dyDescent="0.25">
      <c r="C5" s="202"/>
      <c r="D5" s="203"/>
      <c r="E5" s="203"/>
      <c r="F5" s="203"/>
      <c r="G5" s="203"/>
      <c r="H5" s="203"/>
      <c r="I5" s="203"/>
      <c r="J5" s="203"/>
      <c r="K5" s="203"/>
      <c r="L5" s="203"/>
      <c r="M5" s="203"/>
      <c r="N5" s="203"/>
      <c r="O5" s="203"/>
      <c r="P5" s="204"/>
    </row>
    <row r="6" spans="3:16" s="24" customFormat="1" x14ac:dyDescent="0.25">
      <c r="C6" s="202"/>
      <c r="D6" s="203"/>
      <c r="E6" s="203"/>
      <c r="F6" s="203"/>
      <c r="G6" s="203"/>
      <c r="H6" s="203"/>
      <c r="I6" s="203"/>
      <c r="J6" s="203"/>
      <c r="K6" s="203"/>
      <c r="L6" s="203"/>
      <c r="M6" s="203"/>
      <c r="N6" s="203"/>
      <c r="O6" s="203"/>
      <c r="P6" s="204"/>
    </row>
    <row r="7" spans="3:16" s="24" customFormat="1" x14ac:dyDescent="0.25">
      <c r="C7" s="202"/>
      <c r="D7" s="203"/>
      <c r="E7" s="203"/>
      <c r="F7" s="203"/>
      <c r="G7" s="203"/>
      <c r="H7" s="203"/>
      <c r="I7" s="203"/>
      <c r="J7" s="203"/>
      <c r="K7" s="203"/>
      <c r="L7" s="203"/>
      <c r="M7" s="203"/>
      <c r="N7" s="203"/>
      <c r="O7" s="203"/>
      <c r="P7" s="204"/>
    </row>
    <row r="8" spans="3:16" s="24" customFormat="1" x14ac:dyDescent="0.25">
      <c r="C8" s="202"/>
      <c r="D8" s="203"/>
      <c r="E8" s="203"/>
      <c r="F8" s="203"/>
      <c r="G8" s="203"/>
      <c r="H8" s="203"/>
      <c r="I8" s="203"/>
      <c r="J8" s="203"/>
      <c r="K8" s="203"/>
      <c r="L8" s="203"/>
      <c r="M8" s="203"/>
      <c r="N8" s="203"/>
      <c r="O8" s="203"/>
      <c r="P8" s="204"/>
    </row>
    <row r="9" spans="3:16" s="24" customFormat="1" x14ac:dyDescent="0.25">
      <c r="C9" s="202"/>
      <c r="D9" s="203"/>
      <c r="E9" s="203"/>
      <c r="F9" s="203"/>
      <c r="G9" s="203"/>
      <c r="H9" s="203"/>
      <c r="I9" s="203"/>
      <c r="J9" s="203"/>
      <c r="K9" s="203"/>
      <c r="L9" s="203"/>
      <c r="M9" s="203"/>
      <c r="N9" s="203"/>
      <c r="O9" s="203"/>
      <c r="P9" s="204"/>
    </row>
    <row r="10" spans="3:16" s="24" customFormat="1" ht="15.75" thickBot="1" x14ac:dyDescent="0.3">
      <c r="C10" s="205"/>
      <c r="D10" s="206"/>
      <c r="E10" s="206"/>
      <c r="F10" s="206"/>
      <c r="G10" s="206"/>
      <c r="H10" s="206"/>
      <c r="I10" s="206"/>
      <c r="J10" s="206"/>
      <c r="K10" s="206"/>
      <c r="L10" s="206"/>
      <c r="M10" s="206"/>
      <c r="N10" s="206"/>
      <c r="O10" s="206"/>
      <c r="P10" s="207"/>
    </row>
    <row r="12" spans="3:16" x14ac:dyDescent="0.25">
      <c r="C12" t="s">
        <v>199</v>
      </c>
    </row>
    <row r="14" spans="3:16" x14ac:dyDescent="0.25">
      <c r="G14" s="1" t="s">
        <v>200</v>
      </c>
    </row>
    <row r="15" spans="3:16" x14ac:dyDescent="0.25">
      <c r="G15" s="1" t="s">
        <v>201</v>
      </c>
    </row>
    <row r="19" spans="1:61" x14ac:dyDescent="0.25">
      <c r="A19" s="82"/>
      <c r="B19" s="100" t="s">
        <v>150</v>
      </c>
      <c r="C19" s="236" t="s">
        <v>118</v>
      </c>
      <c r="D19" s="236"/>
      <c r="E19" s="236"/>
      <c r="F19" s="236"/>
      <c r="G19" s="236"/>
      <c r="H19" s="236"/>
      <c r="I19" s="236"/>
      <c r="J19" s="236"/>
      <c r="K19" s="236"/>
      <c r="L19" s="236"/>
      <c r="M19" s="236"/>
      <c r="N19" s="236"/>
      <c r="O19" s="236"/>
      <c r="P19" s="236"/>
      <c r="Q19" s="236"/>
      <c r="R19" s="236"/>
      <c r="S19" s="237" t="s">
        <v>124</v>
      </c>
      <c r="T19" s="237"/>
      <c r="U19" s="237"/>
      <c r="V19" s="238" t="s">
        <v>90</v>
      </c>
      <c r="W19" s="238"/>
      <c r="X19" s="238"/>
      <c r="Y19" s="238"/>
      <c r="Z19" s="238"/>
      <c r="AA19" s="238"/>
      <c r="AB19" s="234" t="s">
        <v>134</v>
      </c>
      <c r="AC19" s="234"/>
      <c r="AD19" s="234"/>
    </row>
    <row r="20" spans="1:61" ht="90" x14ac:dyDescent="0.25">
      <c r="A20" s="82"/>
      <c r="B20" s="100"/>
      <c r="C20" s="83" t="s">
        <v>34</v>
      </c>
      <c r="D20" s="83" t="s">
        <v>151</v>
      </c>
      <c r="E20" s="83" t="s">
        <v>35</v>
      </c>
      <c r="F20" s="83" t="s">
        <v>141</v>
      </c>
      <c r="G20" s="83" t="s">
        <v>142</v>
      </c>
      <c r="H20" s="83" t="s">
        <v>38</v>
      </c>
      <c r="I20" s="83" t="s">
        <v>39</v>
      </c>
      <c r="J20" s="83" t="s">
        <v>40</v>
      </c>
      <c r="K20" s="83" t="s">
        <v>41</v>
      </c>
      <c r="L20" s="83" t="s">
        <v>143</v>
      </c>
      <c r="M20" s="83" t="s">
        <v>144</v>
      </c>
      <c r="N20" s="83" t="s">
        <v>145</v>
      </c>
      <c r="O20" s="83" t="s">
        <v>146</v>
      </c>
      <c r="P20" s="83" t="s">
        <v>147</v>
      </c>
      <c r="Q20" s="83" t="s">
        <v>47</v>
      </c>
      <c r="R20" s="83" t="s">
        <v>148</v>
      </c>
      <c r="S20" s="83" t="s">
        <v>125</v>
      </c>
      <c r="T20" s="83" t="s">
        <v>49</v>
      </c>
      <c r="U20" s="83" t="s">
        <v>50</v>
      </c>
      <c r="V20" s="83" t="s">
        <v>127</v>
      </c>
      <c r="W20" s="83" t="s">
        <v>51</v>
      </c>
      <c r="X20" s="83" t="s">
        <v>128</v>
      </c>
      <c r="Y20" s="83" t="s">
        <v>52</v>
      </c>
      <c r="Z20" s="83" t="s">
        <v>53</v>
      </c>
      <c r="AA20" s="83" t="s">
        <v>129</v>
      </c>
      <c r="AB20" s="83" t="s">
        <v>54</v>
      </c>
      <c r="AC20" s="83" t="s">
        <v>55</v>
      </c>
      <c r="AD20" s="83" t="s">
        <v>56</v>
      </c>
    </row>
    <row r="21" spans="1:61" ht="64.5" x14ac:dyDescent="0.25">
      <c r="A21" s="82"/>
      <c r="B21" s="100"/>
      <c r="C21" s="84" t="s">
        <v>152</v>
      </c>
      <c r="D21" s="84" t="s">
        <v>153</v>
      </c>
      <c r="E21" s="84" t="s">
        <v>154</v>
      </c>
      <c r="F21" s="84" t="s">
        <v>155</v>
      </c>
      <c r="G21" s="84" t="s">
        <v>155</v>
      </c>
      <c r="H21" s="83" t="s">
        <v>156</v>
      </c>
      <c r="I21" s="83" t="s">
        <v>157</v>
      </c>
      <c r="J21" s="83" t="s">
        <v>158</v>
      </c>
      <c r="K21" s="83" t="s">
        <v>159</v>
      </c>
      <c r="L21" s="83" t="s">
        <v>160</v>
      </c>
      <c r="M21" s="83" t="s">
        <v>161</v>
      </c>
      <c r="N21" s="83" t="s">
        <v>162</v>
      </c>
      <c r="O21" s="83" t="s">
        <v>163</v>
      </c>
      <c r="P21" s="83" t="s">
        <v>164</v>
      </c>
      <c r="Q21" s="83" t="s">
        <v>165</v>
      </c>
      <c r="R21" s="83" t="s">
        <v>166</v>
      </c>
      <c r="S21" s="83" t="s">
        <v>167</v>
      </c>
      <c r="T21" s="83" t="s">
        <v>167</v>
      </c>
      <c r="U21" s="83" t="s">
        <v>181</v>
      </c>
      <c r="V21" s="83" t="s">
        <v>167</v>
      </c>
      <c r="W21" s="83" t="s">
        <v>167</v>
      </c>
      <c r="X21" s="83" t="s">
        <v>167</v>
      </c>
      <c r="Y21" s="84" t="s">
        <v>168</v>
      </c>
      <c r="Z21" s="83" t="s">
        <v>167</v>
      </c>
      <c r="AA21" s="84" t="s">
        <v>169</v>
      </c>
      <c r="AB21" s="83" t="s">
        <v>167</v>
      </c>
      <c r="AC21" s="83" t="s">
        <v>167</v>
      </c>
      <c r="AD21" s="83" t="s">
        <v>167</v>
      </c>
      <c r="AH21" s="45" t="s">
        <v>149</v>
      </c>
      <c r="AI21" s="44" t="s">
        <v>140</v>
      </c>
      <c r="AJ21" s="44" t="s">
        <v>35</v>
      </c>
      <c r="AK21" s="44" t="s">
        <v>141</v>
      </c>
      <c r="AL21" s="44" t="s">
        <v>142</v>
      </c>
      <c r="AM21" s="44" t="s">
        <v>38</v>
      </c>
      <c r="AN21" s="73" t="s">
        <v>39</v>
      </c>
      <c r="AO21" s="45" t="s">
        <v>40</v>
      </c>
      <c r="AP21" s="44" t="s">
        <v>41</v>
      </c>
      <c r="AQ21" s="44" t="s">
        <v>143</v>
      </c>
      <c r="AR21" s="44" t="s">
        <v>144</v>
      </c>
      <c r="AS21" s="44" t="s">
        <v>145</v>
      </c>
      <c r="AT21" s="73" t="s">
        <v>146</v>
      </c>
      <c r="AU21" s="44" t="s">
        <v>147</v>
      </c>
      <c r="AV21" s="44" t="s">
        <v>47</v>
      </c>
      <c r="AW21" s="44" t="s">
        <v>148</v>
      </c>
      <c r="AX21" s="74" t="s">
        <v>125</v>
      </c>
      <c r="AY21" s="74" t="s">
        <v>49</v>
      </c>
      <c r="AZ21" s="74" t="s">
        <v>50</v>
      </c>
      <c r="BA21" s="75" t="s">
        <v>127</v>
      </c>
      <c r="BB21" s="76" t="s">
        <v>51</v>
      </c>
      <c r="BC21" s="76" t="s">
        <v>128</v>
      </c>
      <c r="BD21" s="75" t="s">
        <v>52</v>
      </c>
      <c r="BE21" s="75" t="s">
        <v>53</v>
      </c>
      <c r="BF21" s="75" t="s">
        <v>129</v>
      </c>
      <c r="BG21" s="77" t="s">
        <v>54</v>
      </c>
      <c r="BH21" s="77" t="s">
        <v>55</v>
      </c>
      <c r="BI21" s="77" t="s">
        <v>56</v>
      </c>
    </row>
    <row r="22" spans="1:61" ht="33" x14ac:dyDescent="0.45">
      <c r="A22" s="229" t="s">
        <v>170</v>
      </c>
      <c r="B22" s="85" t="s">
        <v>171</v>
      </c>
      <c r="C22" s="96">
        <f>'Valoración de alternativas 1'!C57</f>
        <v>1</v>
      </c>
      <c r="D22" s="96">
        <f>'Valoración de alternativas 1'!D57</f>
        <v>1</v>
      </c>
      <c r="E22" s="96">
        <f>'Valoración de alternativas 1'!E57</f>
        <v>1</v>
      </c>
      <c r="F22" s="96">
        <f>'Valoración de alternativas 1'!F57</f>
        <v>0</v>
      </c>
      <c r="G22" s="96">
        <f>'Valoración de alternativas 1'!G57</f>
        <v>1</v>
      </c>
      <c r="H22" s="96">
        <f>'Valoración de alternativas 1'!H57</f>
        <v>0.33333333333333331</v>
      </c>
      <c r="I22" s="96">
        <f>'Valoración de alternativas 1'!I57</f>
        <v>0.33333333333333331</v>
      </c>
      <c r="J22" s="96">
        <f>'Valoración de alternativas 1'!J57</f>
        <v>0.19999999999999973</v>
      </c>
      <c r="K22" s="96">
        <f>'Valoración de alternativas 1'!K57</f>
        <v>0.3333333333333332</v>
      </c>
      <c r="L22" s="96">
        <f>'Valoración de alternativas 1'!L57</f>
        <v>0.33333333333333365</v>
      </c>
      <c r="M22" s="96">
        <f>'Valoración de alternativas 1'!M57</f>
        <v>0.33333333333333365</v>
      </c>
      <c r="N22" s="96">
        <f>'Valoración de alternativas 1'!N57</f>
        <v>0.24999999999999964</v>
      </c>
      <c r="O22" s="96">
        <f>'Valoración de alternativas 1'!O57</f>
        <v>0.33333333333333365</v>
      </c>
      <c r="P22" s="96">
        <f>'Valoración de alternativas 1'!P57</f>
        <v>0.3333333333333332</v>
      </c>
      <c r="Q22" s="96">
        <f>'Valoración de alternativas 1'!Q57</f>
        <v>0.33333333333333365</v>
      </c>
      <c r="R22" s="96">
        <f>'Valoración de alternativas 1'!R57</f>
        <v>0.33333333333333331</v>
      </c>
      <c r="S22" s="96">
        <f>'Valoración de alternativas 1'!S57</f>
        <v>1</v>
      </c>
      <c r="T22" s="96">
        <f>'Valoración de alternativas 1'!T57</f>
        <v>1</v>
      </c>
      <c r="U22" s="96">
        <f>'Valoración de alternativas 1'!U57</f>
        <v>0</v>
      </c>
      <c r="V22" s="96">
        <f>'Valoración de alternativas 1'!V57</f>
        <v>0</v>
      </c>
      <c r="W22" s="96">
        <f>'Valoración de alternativas 1'!W57</f>
        <v>0.5</v>
      </c>
      <c r="X22" s="96">
        <f>'Valoración de alternativas 1'!X57</f>
        <v>1</v>
      </c>
      <c r="Y22" s="96">
        <f>'Valoración de alternativas 1'!Y57</f>
        <v>0.66666666666666663</v>
      </c>
      <c r="Z22" s="96">
        <f>'Valoración de alternativas 1'!Z57</f>
        <v>1</v>
      </c>
      <c r="AA22" s="96">
        <f>'Valoración de alternativas 1'!AA57</f>
        <v>0.66666666666666663</v>
      </c>
      <c r="AB22" s="96">
        <f>'Valoración de alternativas 1'!AB57</f>
        <v>1</v>
      </c>
      <c r="AC22" s="96">
        <f>'Valoración de alternativas 1'!AC57</f>
        <v>1</v>
      </c>
      <c r="AD22" s="96">
        <f>'Valoración de alternativas 1'!AD57</f>
        <v>1</v>
      </c>
      <c r="AH22" s="78" t="e">
        <f>#REF!</f>
        <v>#REF!</v>
      </c>
      <c r="AI22" s="78" t="e">
        <f>#REF!</f>
        <v>#REF!</v>
      </c>
      <c r="AJ22" s="78" t="e">
        <f>#REF!</f>
        <v>#REF!</v>
      </c>
      <c r="AK22" s="78" t="e">
        <f>#REF!</f>
        <v>#REF!</v>
      </c>
      <c r="AL22" s="78" t="e">
        <f>#REF!</f>
        <v>#REF!</v>
      </c>
      <c r="AM22" s="78" t="e">
        <f>#REF!</f>
        <v>#REF!</v>
      </c>
      <c r="AN22" s="78" t="e">
        <f>#REF!</f>
        <v>#REF!</v>
      </c>
      <c r="AO22" s="78" t="e">
        <f>#REF!</f>
        <v>#REF!</v>
      </c>
      <c r="AP22" s="78" t="e">
        <f>#REF!</f>
        <v>#REF!</v>
      </c>
      <c r="AQ22" s="78" t="e">
        <f>#REF!</f>
        <v>#REF!</v>
      </c>
      <c r="AR22" s="78" t="e">
        <f>#REF!</f>
        <v>#REF!</v>
      </c>
      <c r="AS22" s="78" t="e">
        <f>#REF!</f>
        <v>#REF!</v>
      </c>
      <c r="AT22" s="78" t="e">
        <f>#REF!</f>
        <v>#REF!</v>
      </c>
      <c r="AU22" s="78" t="e">
        <f>#REF!</f>
        <v>#REF!</v>
      </c>
      <c r="AV22" s="78" t="e">
        <f>#REF!</f>
        <v>#REF!</v>
      </c>
      <c r="AW22" s="78" t="e">
        <f>#REF!</f>
        <v>#REF!</v>
      </c>
      <c r="AX22" s="78" t="e">
        <f>#REF!</f>
        <v>#REF!</v>
      </c>
      <c r="AY22" s="78" t="e">
        <f>#REF!</f>
        <v>#REF!</v>
      </c>
      <c r="AZ22" s="78" t="e">
        <f>#REF!</f>
        <v>#REF!</v>
      </c>
      <c r="BA22" s="78" t="e">
        <f>#REF!</f>
        <v>#REF!</v>
      </c>
      <c r="BB22" s="78" t="e">
        <f>#REF!</f>
        <v>#REF!</v>
      </c>
      <c r="BC22" s="78" t="e">
        <f>#REF!</f>
        <v>#REF!</v>
      </c>
      <c r="BD22" s="78" t="e">
        <f>#REF!</f>
        <v>#REF!</v>
      </c>
      <c r="BE22" s="78" t="e">
        <f>#REF!</f>
        <v>#REF!</v>
      </c>
      <c r="BF22" s="78" t="e">
        <f>#REF!</f>
        <v>#REF!</v>
      </c>
      <c r="BG22" s="78" t="e">
        <f>#REF!</f>
        <v>#REF!</v>
      </c>
      <c r="BH22" s="78" t="e">
        <f>#REF!</f>
        <v>#REF!</v>
      </c>
      <c r="BI22" s="78" t="e">
        <f>#REF!</f>
        <v>#REF!</v>
      </c>
    </row>
    <row r="23" spans="1:61" ht="45" x14ac:dyDescent="0.25">
      <c r="A23" s="229"/>
      <c r="B23" s="85" t="s">
        <v>175</v>
      </c>
      <c r="C23" s="96">
        <f>'Valoración de alternativas 1'!C58</f>
        <v>0.33333333333333331</v>
      </c>
      <c r="D23" s="96">
        <f>'Valoración de alternativas 1'!D58</f>
        <v>0.5</v>
      </c>
      <c r="E23" s="96">
        <f>'Valoración de alternativas 1'!E58</f>
        <v>0.49999999999999989</v>
      </c>
      <c r="F23" s="96">
        <f>'Valoración de alternativas 1'!F58</f>
        <v>0.66666666666666663</v>
      </c>
      <c r="G23" s="96">
        <f>'Valoración de alternativas 1'!G58</f>
        <v>0.25000000000000011</v>
      </c>
      <c r="H23" s="96">
        <f>'Valoración de alternativas 1'!H58</f>
        <v>0.66666666666666663</v>
      </c>
      <c r="I23" s="96">
        <f>'Valoración de alternativas 1'!I58</f>
        <v>0.66666666666666663</v>
      </c>
      <c r="J23" s="96">
        <f>'Valoración de alternativas 1'!J58</f>
        <v>0.60000000000000009</v>
      </c>
      <c r="K23" s="96">
        <f>'Valoración de alternativas 1'!K58</f>
        <v>0.66666666666666685</v>
      </c>
      <c r="L23" s="96">
        <f>'Valoración de alternativas 1'!L58</f>
        <v>0.6666666666666673</v>
      </c>
      <c r="M23" s="96">
        <f>'Valoración de alternativas 1'!M58</f>
        <v>0.66666666666666641</v>
      </c>
      <c r="N23" s="96">
        <f>'Valoración de alternativas 1'!N58</f>
        <v>0.75000000000000033</v>
      </c>
      <c r="O23" s="96">
        <f>'Valoración de alternativas 1'!O58</f>
        <v>0.66666666666666685</v>
      </c>
      <c r="P23" s="96">
        <f>'Valoración de alternativas 1'!P58</f>
        <v>0.66666666666666641</v>
      </c>
      <c r="Q23" s="96">
        <f>'Valoración de alternativas 1'!Q58</f>
        <v>0.66666666666666641</v>
      </c>
      <c r="R23" s="96">
        <f>'Valoración de alternativas 1'!R58</f>
        <v>0.66666666666666663</v>
      </c>
      <c r="S23" s="96">
        <f>'Valoración de alternativas 1'!S58</f>
        <v>0</v>
      </c>
      <c r="T23" s="96">
        <f>'Valoración de alternativas 1'!T58</f>
        <v>0.33333333333333331</v>
      </c>
      <c r="U23" s="96">
        <f>'Valoración de alternativas 1'!U58</f>
        <v>1</v>
      </c>
      <c r="V23" s="96">
        <f>'Valoración de alternativas 1'!V58</f>
        <v>1</v>
      </c>
      <c r="W23" s="96">
        <f>'Valoración de alternativas 1'!W58</f>
        <v>1</v>
      </c>
      <c r="X23" s="96">
        <f>'Valoración de alternativas 1'!X58</f>
        <v>0</v>
      </c>
      <c r="Y23" s="96">
        <f>'Valoración de alternativas 1'!Y58</f>
        <v>0.33333333333333331</v>
      </c>
      <c r="Z23" s="96">
        <f>'Valoración de alternativas 1'!Z58</f>
        <v>1</v>
      </c>
      <c r="AA23" s="96">
        <f>'Valoración de alternativas 1'!AA58</f>
        <v>0.33333333333333331</v>
      </c>
      <c r="AB23" s="96">
        <f>'Valoración de alternativas 1'!AB58</f>
        <v>0</v>
      </c>
      <c r="AC23" s="96">
        <f>'Valoración de alternativas 1'!AC58</f>
        <v>0</v>
      </c>
      <c r="AD23" s="96">
        <f>'Valoración de alternativas 1'!AD58</f>
        <v>0.5</v>
      </c>
    </row>
    <row r="24" spans="1:61" ht="45" x14ac:dyDescent="0.25">
      <c r="A24" s="229"/>
      <c r="B24" s="85" t="s">
        <v>177</v>
      </c>
      <c r="C24" s="96">
        <f>'Valoración de alternativas 1'!C59</f>
        <v>0.66666666666666663</v>
      </c>
      <c r="D24" s="96">
        <f>'Valoración de alternativas 1'!D59</f>
        <v>0.8</v>
      </c>
      <c r="E24" s="96">
        <f>'Valoración de alternativas 1'!E59</f>
        <v>0.75000000000000011</v>
      </c>
      <c r="F24" s="96">
        <f>'Valoración de alternativas 1'!F59</f>
        <v>1</v>
      </c>
      <c r="G24" s="96">
        <f>'Valoración de alternativas 1'!G59</f>
        <v>0.50000000000000022</v>
      </c>
      <c r="H24" s="96">
        <f>'Valoración de alternativas 1'!H59</f>
        <v>1</v>
      </c>
      <c r="I24" s="96">
        <f>'Valoración de alternativas 1'!I59</f>
        <v>1</v>
      </c>
      <c r="J24" s="96">
        <f>'Valoración de alternativas 1'!J59</f>
        <v>1</v>
      </c>
      <c r="K24" s="96">
        <f>'Valoración de alternativas 1'!K59</f>
        <v>1</v>
      </c>
      <c r="L24" s="96">
        <f>'Valoración de alternativas 1'!L59</f>
        <v>1</v>
      </c>
      <c r="M24" s="96">
        <f>'Valoración de alternativas 1'!M59</f>
        <v>1</v>
      </c>
      <c r="N24" s="96">
        <f>'Valoración de alternativas 1'!N59</f>
        <v>1</v>
      </c>
      <c r="O24" s="96">
        <f>'Valoración de alternativas 1'!O59</f>
        <v>1</v>
      </c>
      <c r="P24" s="96">
        <f>'Valoración de alternativas 1'!P59</f>
        <v>1</v>
      </c>
      <c r="Q24" s="96">
        <f>'Valoración de alternativas 1'!Q59</f>
        <v>1</v>
      </c>
      <c r="R24" s="96">
        <f>'Valoración de alternativas 1'!R59</f>
        <v>1</v>
      </c>
      <c r="S24" s="96">
        <f>'Valoración de alternativas 1'!S59</f>
        <v>0.66666666666666663</v>
      </c>
      <c r="T24" s="96">
        <f>'Valoración de alternativas 1'!T59</f>
        <v>0.33333333333333331</v>
      </c>
      <c r="U24" s="96">
        <f>'Valoración de alternativas 1'!U59</f>
        <v>0.2</v>
      </c>
      <c r="V24" s="96">
        <f>'Valoración de alternativas 1'!V59</f>
        <v>0</v>
      </c>
      <c r="W24" s="96">
        <f>'Valoración de alternativas 1'!W59</f>
        <v>1</v>
      </c>
      <c r="X24" s="96">
        <f>'Valoración de alternativas 1'!X59</f>
        <v>0.33333333333333331</v>
      </c>
      <c r="Y24" s="96">
        <f>'Valoración de alternativas 1'!Y59</f>
        <v>0</v>
      </c>
      <c r="Z24" s="96">
        <f>'Valoración de alternativas 1'!Z59</f>
        <v>0</v>
      </c>
      <c r="AA24" s="96">
        <f>'Valoración de alternativas 1'!AA59</f>
        <v>0</v>
      </c>
      <c r="AB24" s="96">
        <f>'Valoración de alternativas 1'!AB59</f>
        <v>0.66666666666666663</v>
      </c>
      <c r="AC24" s="96">
        <f>'Valoración de alternativas 1'!AC59</f>
        <v>0.66666666666666663</v>
      </c>
      <c r="AD24" s="96">
        <f>'Valoración de alternativas 1'!AD59</f>
        <v>0.5</v>
      </c>
    </row>
    <row r="25" spans="1:61" ht="45" x14ac:dyDescent="0.25">
      <c r="A25" s="229"/>
      <c r="B25" s="85" t="s">
        <v>182</v>
      </c>
      <c r="C25" s="96">
        <f>'Valoración de alternativas 1'!C60</f>
        <v>0</v>
      </c>
      <c r="D25" s="96">
        <f>'Valoración de alternativas 1'!D60</f>
        <v>0</v>
      </c>
      <c r="E25" s="96">
        <f>'Valoración de alternativas 1'!E60</f>
        <v>0</v>
      </c>
      <c r="F25" s="96">
        <f>'Valoración de alternativas 1'!F60</f>
        <v>0.33333333333333331</v>
      </c>
      <c r="G25" s="96">
        <f>'Valoración de alternativas 1'!G60</f>
        <v>0</v>
      </c>
      <c r="H25" s="96">
        <f>'Valoración de alternativas 1'!H60</f>
        <v>0</v>
      </c>
      <c r="I25" s="96">
        <f>'Valoración de alternativas 1'!I60</f>
        <v>0</v>
      </c>
      <c r="J25" s="96">
        <f>'Valoración de alternativas 1'!J60</f>
        <v>0</v>
      </c>
      <c r="K25" s="96">
        <f>'Valoración de alternativas 1'!K60</f>
        <v>0</v>
      </c>
      <c r="L25" s="96">
        <f>'Valoración de alternativas 1'!L60</f>
        <v>0</v>
      </c>
      <c r="M25" s="96">
        <f>'Valoración de alternativas 1'!M60</f>
        <v>0</v>
      </c>
      <c r="N25" s="96">
        <f>'Valoración de alternativas 1'!N60</f>
        <v>0</v>
      </c>
      <c r="O25" s="96">
        <f>'Valoración de alternativas 1'!O60</f>
        <v>0</v>
      </c>
      <c r="P25" s="96">
        <f>'Valoración de alternativas 1'!P60</f>
        <v>0</v>
      </c>
      <c r="Q25" s="96">
        <f>'Valoración de alternativas 1'!Q60</f>
        <v>0</v>
      </c>
      <c r="R25" s="96">
        <f>'Valoración de alternativas 1'!R60</f>
        <v>0</v>
      </c>
      <c r="S25" s="96">
        <f>'Valoración de alternativas 1'!S60</f>
        <v>0.33333333333333331</v>
      </c>
      <c r="T25" s="96">
        <f>'Valoración de alternativas 1'!T60</f>
        <v>0</v>
      </c>
      <c r="U25" s="96">
        <f>'Valoración de alternativas 1'!U60</f>
        <v>0.4</v>
      </c>
      <c r="V25" s="96">
        <f>'Valoración de alternativas 1'!V60</f>
        <v>0</v>
      </c>
      <c r="W25" s="96">
        <f>'Valoración de alternativas 1'!W60</f>
        <v>0</v>
      </c>
      <c r="X25" s="96">
        <f>'Valoración de alternativas 1'!X60</f>
        <v>0.33333333333333331</v>
      </c>
      <c r="Y25" s="96">
        <f>'Valoración de alternativas 1'!Y60</f>
        <v>1</v>
      </c>
      <c r="Z25" s="96">
        <f>'Valoración de alternativas 1'!Z60</f>
        <v>0</v>
      </c>
      <c r="AA25" s="96">
        <f>'Valoración de alternativas 1'!AA60</f>
        <v>1</v>
      </c>
      <c r="AB25" s="96">
        <f>'Valoración de alternativas 1'!AB60</f>
        <v>0</v>
      </c>
      <c r="AC25" s="96">
        <f>'Valoración de alternativas 1'!AC60</f>
        <v>0.66666666666666663</v>
      </c>
      <c r="AD25" s="96">
        <f>'Valoración de alternativas 1'!AD60</f>
        <v>0</v>
      </c>
    </row>
    <row r="26" spans="1:61" ht="30" x14ac:dyDescent="0.25">
      <c r="A26" s="229"/>
      <c r="B26" s="85" t="s">
        <v>183</v>
      </c>
      <c r="C26" s="96">
        <f>'Valoración de alternativas 1'!C61</f>
        <v>0.46666666666666667</v>
      </c>
      <c r="D26" s="96">
        <f>'Valoración de alternativas 1'!D61</f>
        <v>0.7</v>
      </c>
      <c r="E26" s="96">
        <f>'Valoración de alternativas 1'!E61</f>
        <v>0.65</v>
      </c>
      <c r="F26" s="96">
        <f>'Valoración de alternativas 1'!F61</f>
        <v>0.49999999999999961</v>
      </c>
      <c r="G26" s="96">
        <f>'Valoración de alternativas 1'!G61</f>
        <v>0.12499999999999979</v>
      </c>
      <c r="H26" s="96">
        <f>'Valoración de alternativas 1'!H61</f>
        <v>0.5</v>
      </c>
      <c r="I26" s="96">
        <f>'Valoración de alternativas 1'!I61</f>
        <v>0.49999999999999994</v>
      </c>
      <c r="J26" s="96">
        <f>'Valoración de alternativas 1'!J61</f>
        <v>0.39999999999999991</v>
      </c>
      <c r="K26" s="96">
        <f>'Valoración de alternativas 1'!K61</f>
        <v>0.5</v>
      </c>
      <c r="L26" s="96">
        <f>'Valoración de alternativas 1'!L61</f>
        <v>0.50000000000000044</v>
      </c>
      <c r="M26" s="96">
        <f>'Valoración de alternativas 1'!M61</f>
        <v>0.83333333333333315</v>
      </c>
      <c r="N26" s="96">
        <f>'Valoración de alternativas 1'!N61</f>
        <v>0.62500000000000022</v>
      </c>
      <c r="O26" s="96">
        <f>'Valoración de alternativas 1'!O61</f>
        <v>0.5</v>
      </c>
      <c r="P26" s="96">
        <f>'Valoración de alternativas 1'!P61</f>
        <v>0.5</v>
      </c>
      <c r="Q26" s="96">
        <f>'Valoración de alternativas 1'!Q61</f>
        <v>0.74999999999999978</v>
      </c>
      <c r="R26" s="96">
        <f>'Valoración de alternativas 1'!R61</f>
        <v>0.83333333333333337</v>
      </c>
      <c r="S26" s="96">
        <f>'Valoración de alternativas 1'!S61</f>
        <v>0.33333333333333331</v>
      </c>
      <c r="T26" s="96">
        <f>'Valoración de alternativas 1'!T61</f>
        <v>0</v>
      </c>
      <c r="U26" s="96">
        <f>'Valoración de alternativas 1'!U61</f>
        <v>0.6</v>
      </c>
      <c r="V26" s="96">
        <f>'Valoración de alternativas 1'!V61</f>
        <v>0</v>
      </c>
      <c r="W26" s="96">
        <f>'Valoración de alternativas 1'!W61</f>
        <v>0</v>
      </c>
      <c r="X26" s="96">
        <f>'Valoración de alternativas 1'!X61</f>
        <v>0.33333333333333331</v>
      </c>
      <c r="Y26" s="96">
        <f>'Valoración de alternativas 1'!Y61</f>
        <v>0.16666666666666666</v>
      </c>
      <c r="Z26" s="96">
        <f>'Valoración de alternativas 1'!Z61</f>
        <v>0</v>
      </c>
      <c r="AA26" s="96">
        <f>'Valoración de alternativas 1'!AA61</f>
        <v>0.16666666666666666</v>
      </c>
      <c r="AB26" s="96">
        <f>'Valoración de alternativas 1'!AB61</f>
        <v>0.33333333333333331</v>
      </c>
      <c r="AC26" s="96">
        <f>'Valoración de alternativas 1'!AC61</f>
        <v>0.66666666666666663</v>
      </c>
      <c r="AD26" s="96">
        <f>'Valoración de alternativas 1'!AD61</f>
        <v>0.5</v>
      </c>
    </row>
    <row r="27" spans="1:61" x14ac:dyDescent="0.25">
      <c r="A27" s="84" t="s">
        <v>178</v>
      </c>
      <c r="B27" s="91"/>
      <c r="C27" s="84" t="s">
        <v>179</v>
      </c>
      <c r="D27" s="84" t="s">
        <v>179</v>
      </c>
      <c r="E27" s="84" t="s">
        <v>179</v>
      </c>
      <c r="F27" s="84" t="s">
        <v>179</v>
      </c>
      <c r="G27" s="84" t="s">
        <v>179</v>
      </c>
      <c r="H27" s="84" t="s">
        <v>179</v>
      </c>
      <c r="I27" s="84" t="s">
        <v>179</v>
      </c>
      <c r="J27" s="84" t="s">
        <v>179</v>
      </c>
      <c r="K27" s="84" t="s">
        <v>179</v>
      </c>
      <c r="L27" s="84" t="s">
        <v>179</v>
      </c>
      <c r="M27" s="84" t="s">
        <v>179</v>
      </c>
      <c r="N27" s="84" t="s">
        <v>179</v>
      </c>
      <c r="O27" s="84" t="s">
        <v>179</v>
      </c>
      <c r="P27" s="84" t="s">
        <v>179</v>
      </c>
      <c r="Q27" s="84" t="s">
        <v>179</v>
      </c>
      <c r="R27" s="84" t="s">
        <v>179</v>
      </c>
      <c r="S27" s="84" t="s">
        <v>180</v>
      </c>
      <c r="T27" s="84" t="s">
        <v>180</v>
      </c>
      <c r="U27" s="84" t="s">
        <v>180</v>
      </c>
      <c r="V27" s="84" t="s">
        <v>180</v>
      </c>
      <c r="W27" s="84" t="s">
        <v>180</v>
      </c>
      <c r="X27" s="84" t="s">
        <v>180</v>
      </c>
      <c r="Y27" s="84" t="s">
        <v>179</v>
      </c>
      <c r="Z27" s="84" t="s">
        <v>180</v>
      </c>
      <c r="AA27" s="84" t="s">
        <v>179</v>
      </c>
      <c r="AB27" s="84" t="s">
        <v>180</v>
      </c>
      <c r="AC27" s="84" t="s">
        <v>180</v>
      </c>
      <c r="AD27" s="84" t="s">
        <v>179</v>
      </c>
    </row>
    <row r="30" spans="1:61" ht="34.5" x14ac:dyDescent="0.55000000000000004">
      <c r="B30" s="101" t="s">
        <v>202</v>
      </c>
      <c r="C30" s="81" t="s">
        <v>203</v>
      </c>
      <c r="D30" s="2"/>
      <c r="H30" s="5" t="s">
        <v>204</v>
      </c>
    </row>
    <row r="31" spans="1:61" ht="30" x14ac:dyDescent="0.25">
      <c r="B31" s="79" t="s">
        <v>171</v>
      </c>
      <c r="C31" s="127" t="e">
        <f>SUMPRODUCT(C22:AD22,$AH$22:$BI$22)</f>
        <v>#REF!</v>
      </c>
      <c r="H31" s="103">
        <v>1</v>
      </c>
      <c r="I31" s="102" t="e">
        <f>LARGE($C$31:$C$35,H31)</f>
        <v>#REF!</v>
      </c>
      <c r="J31" s="241" t="e">
        <f>IF(I31=$C$31,$B$31,IF(I31=$C$32,$B$32,IF(I31=$C$33,$B$33,IF(I31=$C$34,$B$34,$B$35))))</f>
        <v>#REF!</v>
      </c>
      <c r="K31" s="241"/>
      <c r="L31" s="241"/>
      <c r="O31" s="242" t="e">
        <f>"El mejor metodo desempeño ambiental para tu producto es"&amp;" "&amp;J31</f>
        <v>#REF!</v>
      </c>
      <c r="P31" s="242"/>
    </row>
    <row r="32" spans="1:61" ht="45" x14ac:dyDescent="0.25">
      <c r="B32" s="79" t="s">
        <v>175</v>
      </c>
      <c r="C32" s="127" t="e">
        <f t="shared" ref="C32:C35" si="0">SUMPRODUCT(C23:AD23,$AH$22:$BI$22)</f>
        <v>#REF!</v>
      </c>
      <c r="H32" s="31">
        <v>2</v>
      </c>
      <c r="I32" s="102" t="e">
        <f t="shared" ref="I32:I35" si="1">LARGE($C$31:$C$35,H32)</f>
        <v>#REF!</v>
      </c>
      <c r="J32" s="241" t="e">
        <f t="shared" ref="J32:J35" si="2">IF(I32=$C$31,$B$31,IF(I32=$C$32,$B$32,IF(I32=$C$33,$B$33,IF(I32=$C$34,$B$34,$B$35))))</f>
        <v>#REF!</v>
      </c>
      <c r="K32" s="241"/>
      <c r="L32" s="241"/>
      <c r="O32" s="242"/>
      <c r="P32" s="242"/>
    </row>
    <row r="33" spans="2:12" ht="45" x14ac:dyDescent="0.25">
      <c r="B33" s="85" t="s">
        <v>177</v>
      </c>
      <c r="C33" s="127" t="e">
        <f t="shared" si="0"/>
        <v>#REF!</v>
      </c>
      <c r="H33" s="31">
        <v>3</v>
      </c>
      <c r="I33" s="102" t="e">
        <f t="shared" si="1"/>
        <v>#REF!</v>
      </c>
      <c r="J33" s="241" t="e">
        <f t="shared" si="2"/>
        <v>#REF!</v>
      </c>
      <c r="K33" s="241"/>
      <c r="L33" s="241"/>
    </row>
    <row r="34" spans="2:12" ht="45" x14ac:dyDescent="0.25">
      <c r="B34" s="85" t="s">
        <v>182</v>
      </c>
      <c r="C34" s="127" t="e">
        <f t="shared" si="0"/>
        <v>#REF!</v>
      </c>
      <c r="H34" s="31">
        <v>4</v>
      </c>
      <c r="I34" s="102" t="e">
        <f t="shared" si="1"/>
        <v>#REF!</v>
      </c>
      <c r="J34" s="241" t="e">
        <f t="shared" si="2"/>
        <v>#REF!</v>
      </c>
      <c r="K34" s="241"/>
      <c r="L34" s="241"/>
    </row>
    <row r="35" spans="2:12" ht="59.25" customHeight="1" x14ac:dyDescent="0.25">
      <c r="B35" s="85" t="s">
        <v>183</v>
      </c>
      <c r="C35" s="127" t="e">
        <f t="shared" si="0"/>
        <v>#REF!</v>
      </c>
      <c r="H35" s="31">
        <v>5</v>
      </c>
      <c r="I35" s="102" t="e">
        <f t="shared" si="1"/>
        <v>#REF!</v>
      </c>
      <c r="J35" s="241" t="e">
        <f t="shared" si="2"/>
        <v>#REF!</v>
      </c>
      <c r="K35" s="241"/>
      <c r="L35" s="241"/>
    </row>
  </sheetData>
  <mergeCells count="13">
    <mergeCell ref="AB19:AD19"/>
    <mergeCell ref="A22:A26"/>
    <mergeCell ref="J35:L35"/>
    <mergeCell ref="O31:P32"/>
    <mergeCell ref="J31:L31"/>
    <mergeCell ref="J32:L32"/>
    <mergeCell ref="J33:L33"/>
    <mergeCell ref="J34:L34"/>
    <mergeCell ref="C3:P3"/>
    <mergeCell ref="C4:P10"/>
    <mergeCell ref="C19:R19"/>
    <mergeCell ref="S19:U19"/>
    <mergeCell ref="V19:AA19"/>
  </mergeCells>
  <conditionalFormatting sqref="D31:D35">
    <cfRule type="colorScale" priority="2">
      <colorScale>
        <cfvo type="min"/>
        <cfvo type="percentile" val="50"/>
        <cfvo type="max"/>
        <color rgb="FF63BE7B"/>
        <color rgb="FFFFEB84"/>
        <color rgb="FFF8696B"/>
      </colorScale>
    </cfRule>
  </conditionalFormatting>
  <conditionalFormatting sqref="H31:H35">
    <cfRule type="colorScale" priority="1">
      <colorScale>
        <cfvo type="min"/>
        <cfvo type="percentile" val="50"/>
        <cfvo type="max"/>
        <color rgb="FF63BE7B"/>
        <color rgb="FFFFEB84"/>
        <color rgb="FFF8696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Introducción</vt:lpstr>
      <vt:lpstr>Estructuración del problema</vt:lpstr>
      <vt:lpstr>Asignación de preferencias A)</vt:lpstr>
      <vt:lpstr>Resultado A)</vt:lpstr>
      <vt:lpstr>Asignación de preferencias B)</vt:lpstr>
      <vt:lpstr>Resultado B)</vt:lpstr>
      <vt:lpstr>Lista</vt:lpstr>
      <vt:lpstr>Valoración de alternativas 1</vt:lpstr>
      <vt:lpstr>Resultado priorización 1</vt:lpstr>
      <vt:lpstr>Valoración de alternativas 2</vt:lpstr>
      <vt:lpstr>Resultado priorización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JHONATHAN ANDR�S ZAPATA GIRALDO</dc:creator>
  <cp:lastModifiedBy>JHONATHAN ANDR�S ZAPATA GIRALDO</cp:lastModifiedBy>
  <dcterms:created xsi:type="dcterms:W3CDTF">2024-08-03T01:12:31Z</dcterms:created>
  <dcterms:modified xsi:type="dcterms:W3CDTF">2025-09-03T23:06:49Z</dcterms:modified>
</cp:coreProperties>
</file>